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SERVER\Share\＜〇指導班＞\マニュアル\R8 料金表\"/>
    </mc:Choice>
  </mc:AlternateContent>
  <xr:revisionPtr revIDLastSave="0" documentId="13_ncr:1_{030C8675-BB75-4850-A7B4-2E45A79A472B}" xr6:coauthVersionLast="47" xr6:coauthVersionMax="47" xr10:uidLastSave="{00000000-0000-0000-0000-000000000000}"/>
  <bookViews>
    <workbookView xWindow="-108" yWindow="-108" windowWidth="23256" windowHeight="12456" tabRatio="747" xr2:uid="{0A6AB69A-386C-4667-8EF6-BB5131F54917}"/>
  </bookViews>
  <sheets>
    <sheet name="料金シミュレーション" sheetId="6" r:id="rId1"/>
    <sheet name="計算シート" sheetId="25" state="hidden" r:id="rId2"/>
    <sheet name="計算シート②" sheetId="26" state="hidden" r:id="rId3"/>
  </sheets>
  <definedNames>
    <definedName name="HTML_CodePage" hidden="1">932</definedName>
    <definedName name="HTML_Control" hidden="1">{"'研修日程表'!$A$1:$AT$42"}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"C:\WINDOWS\ﾃﾞｽｸﾄｯﾌﾟ\MyHTML.htm"</definedName>
    <definedName name="HTML_PathTemplate" hidden="1">"C:\WINDOWS\ﾃﾞｽｸﾄｯﾌﾟ\hp\k_nittei.htm"</definedName>
    <definedName name="_xlnm.Print_Area" localSheetId="1">計算シート!$A$1:$AJ$41</definedName>
    <definedName name="_xlnm.Print_Area" localSheetId="2">計算シート②!$A$1:$AF$41</definedName>
    <definedName name="_xlnm.Print_Area" localSheetId="0">料金シミュレーション!$A$1:$N$101</definedName>
    <definedName name="新" hidden="1">{"'研修日程表'!$A$1:$AT$42"}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6" l="1"/>
  <c r="M1" i="26" l="1"/>
  <c r="N39" i="26"/>
  <c r="N38" i="26"/>
  <c r="N37" i="26"/>
  <c r="N36" i="26"/>
  <c r="N35" i="26"/>
  <c r="N34" i="26"/>
  <c r="N32" i="26"/>
  <c r="N33" i="26"/>
  <c r="C44" i="6"/>
  <c r="L15" i="26"/>
  <c r="L14" i="26"/>
  <c r="L8" i="26"/>
  <c r="L7" i="26"/>
  <c r="J27" i="26"/>
  <c r="J26" i="26"/>
  <c r="J15" i="26"/>
  <c r="H27" i="26"/>
  <c r="H26" i="26"/>
  <c r="H15" i="26"/>
  <c r="H14" i="26"/>
  <c r="H8" i="26"/>
  <c r="H7" i="26"/>
  <c r="F27" i="26"/>
  <c r="F26" i="26"/>
  <c r="F15" i="26"/>
  <c r="F14" i="26"/>
  <c r="J8" i="26"/>
  <c r="J7" i="26"/>
  <c r="J14" i="26"/>
  <c r="L13" i="26"/>
  <c r="L6" i="26"/>
  <c r="J25" i="26"/>
  <c r="J13" i="26"/>
  <c r="J6" i="26"/>
  <c r="H25" i="26"/>
  <c r="H13" i="26"/>
  <c r="H6" i="26"/>
  <c r="F25" i="26"/>
  <c r="F13" i="26"/>
  <c r="M22" i="25"/>
  <c r="J12" i="25" l="1"/>
  <c r="AD40" i="26"/>
  <c r="S40" i="26"/>
  <c r="R40" i="26"/>
  <c r="P40" i="26"/>
  <c r="U40" i="26" s="1"/>
  <c r="M40" i="26"/>
  <c r="O40" i="26" s="1"/>
  <c r="K40" i="26"/>
  <c r="I40" i="26"/>
  <c r="B40" i="26"/>
  <c r="AD39" i="26"/>
  <c r="AA39" i="26"/>
  <c r="Y39" i="26"/>
  <c r="S39" i="26"/>
  <c r="R39" i="26"/>
  <c r="P39" i="26"/>
  <c r="O39" i="26"/>
  <c r="M39" i="26"/>
  <c r="K39" i="26"/>
  <c r="I39" i="26"/>
  <c r="B39" i="26"/>
  <c r="AD38" i="26"/>
  <c r="AD41" i="26" s="1"/>
  <c r="AC38" i="26"/>
  <c r="AC39" i="26" s="1"/>
  <c r="AC40" i="26" s="1"/>
  <c r="AA38" i="26"/>
  <c r="S38" i="26"/>
  <c r="R38" i="26"/>
  <c r="P38" i="26"/>
  <c r="U38" i="26" s="1"/>
  <c r="O38" i="26"/>
  <c r="M38" i="26"/>
  <c r="K38" i="26"/>
  <c r="I38" i="26"/>
  <c r="B38" i="26"/>
  <c r="AD37" i="26"/>
  <c r="Y37" i="26"/>
  <c r="S37" i="26"/>
  <c r="R37" i="26"/>
  <c r="P37" i="26"/>
  <c r="O37" i="26"/>
  <c r="M37" i="26"/>
  <c r="K37" i="26"/>
  <c r="I37" i="26"/>
  <c r="B37" i="26"/>
  <c r="AH36" i="26"/>
  <c r="S36" i="26"/>
  <c r="R36" i="26"/>
  <c r="P36" i="26"/>
  <c r="U36" i="26" s="1"/>
  <c r="M36" i="26"/>
  <c r="O36" i="26" s="1"/>
  <c r="K36" i="26"/>
  <c r="I36" i="26"/>
  <c r="B36" i="26"/>
  <c r="S35" i="26"/>
  <c r="R35" i="26"/>
  <c r="P35" i="26"/>
  <c r="U35" i="26" s="1"/>
  <c r="M35" i="26"/>
  <c r="O35" i="26" s="1"/>
  <c r="K35" i="26"/>
  <c r="I35" i="26"/>
  <c r="B35" i="26"/>
  <c r="S34" i="26"/>
  <c r="R34" i="26"/>
  <c r="P34" i="26"/>
  <c r="U34" i="26" s="1"/>
  <c r="O34" i="26"/>
  <c r="M34" i="26"/>
  <c r="K34" i="26"/>
  <c r="I34" i="26"/>
  <c r="B34" i="26"/>
  <c r="A34" i="26"/>
  <c r="S33" i="26"/>
  <c r="R33" i="26"/>
  <c r="P33" i="26"/>
  <c r="M33" i="26"/>
  <c r="O33" i="26" s="1"/>
  <c r="K33" i="26"/>
  <c r="I33" i="26"/>
  <c r="B33" i="26"/>
  <c r="S32" i="26"/>
  <c r="R32" i="26"/>
  <c r="P32" i="26"/>
  <c r="O32" i="26"/>
  <c r="M32" i="26"/>
  <c r="K32" i="26"/>
  <c r="I32" i="26"/>
  <c r="B32" i="26"/>
  <c r="U31" i="26"/>
  <c r="S31" i="26"/>
  <c r="R31" i="26"/>
  <c r="P31" i="26"/>
  <c r="M31" i="26"/>
  <c r="O31" i="26" s="1"/>
  <c r="K31" i="26"/>
  <c r="I31" i="26"/>
  <c r="B31" i="26"/>
  <c r="S30" i="26"/>
  <c r="R30" i="26"/>
  <c r="P30" i="26"/>
  <c r="U30" i="26" s="1"/>
  <c r="M30" i="26"/>
  <c r="O30" i="26" s="1"/>
  <c r="K30" i="26"/>
  <c r="I30" i="26"/>
  <c r="B30" i="26"/>
  <c r="S29" i="26"/>
  <c r="R29" i="26"/>
  <c r="P29" i="26"/>
  <c r="U29" i="26" s="1"/>
  <c r="M29" i="26"/>
  <c r="O29" i="26" s="1"/>
  <c r="K29" i="26"/>
  <c r="I29" i="26"/>
  <c r="B29" i="26"/>
  <c r="S28" i="26"/>
  <c r="R28" i="26"/>
  <c r="P28" i="26"/>
  <c r="U28" i="26" s="1"/>
  <c r="M28" i="26"/>
  <c r="O28" i="26" s="1"/>
  <c r="K28" i="26"/>
  <c r="I28" i="26"/>
  <c r="B28" i="26"/>
  <c r="S27" i="26"/>
  <c r="R27" i="26"/>
  <c r="P27" i="26"/>
  <c r="M27" i="26"/>
  <c r="O27" i="26" s="1"/>
  <c r="K27" i="26"/>
  <c r="I27" i="26"/>
  <c r="B27" i="26"/>
  <c r="S26" i="26"/>
  <c r="R26" i="26"/>
  <c r="P26" i="26"/>
  <c r="O26" i="26"/>
  <c r="M26" i="26"/>
  <c r="K26" i="26"/>
  <c r="I26" i="26"/>
  <c r="B26" i="26"/>
  <c r="S25" i="26"/>
  <c r="R25" i="26"/>
  <c r="P25" i="26"/>
  <c r="U25" i="26" s="1"/>
  <c r="M25" i="26"/>
  <c r="O25" i="26" s="1"/>
  <c r="K25" i="26"/>
  <c r="I25" i="26"/>
  <c r="B25" i="26"/>
  <c r="A25" i="26"/>
  <c r="S24" i="26"/>
  <c r="R24" i="26"/>
  <c r="P24" i="26"/>
  <c r="U24" i="26" s="1"/>
  <c r="M24" i="26"/>
  <c r="O24" i="26" s="1"/>
  <c r="K24" i="26"/>
  <c r="I24" i="26"/>
  <c r="B24" i="26"/>
  <c r="Y23" i="26"/>
  <c r="AD23" i="26" s="1"/>
  <c r="AH40" i="26" s="1"/>
  <c r="U23" i="26"/>
  <c r="S23" i="26"/>
  <c r="R23" i="26"/>
  <c r="P23" i="26"/>
  <c r="M23" i="26"/>
  <c r="O23" i="26" s="1"/>
  <c r="K23" i="26"/>
  <c r="I23" i="26"/>
  <c r="B23" i="26"/>
  <c r="S22" i="26"/>
  <c r="R22" i="26"/>
  <c r="P22" i="26"/>
  <c r="U22" i="26" s="1"/>
  <c r="M22" i="26"/>
  <c r="O22" i="26" s="1"/>
  <c r="K22" i="26"/>
  <c r="I22" i="26"/>
  <c r="B22" i="26"/>
  <c r="AD21" i="26"/>
  <c r="S21" i="26"/>
  <c r="R21" i="26"/>
  <c r="P21" i="26"/>
  <c r="U21" i="26" s="1"/>
  <c r="M21" i="26"/>
  <c r="O21" i="26" s="1"/>
  <c r="K21" i="26"/>
  <c r="I21" i="26"/>
  <c r="B21" i="26"/>
  <c r="S20" i="26"/>
  <c r="R20" i="26"/>
  <c r="P20" i="26"/>
  <c r="U20" i="26" s="1"/>
  <c r="O20" i="26"/>
  <c r="M20" i="26"/>
  <c r="K20" i="26"/>
  <c r="I20" i="26"/>
  <c r="B20" i="26"/>
  <c r="AE19" i="26"/>
  <c r="S19" i="26"/>
  <c r="U19" i="26" s="1"/>
  <c r="R19" i="26"/>
  <c r="P19" i="26"/>
  <c r="M19" i="26"/>
  <c r="O19" i="26" s="1"/>
  <c r="K19" i="26"/>
  <c r="I19" i="26"/>
  <c r="B19" i="26"/>
  <c r="S18" i="26"/>
  <c r="U18" i="26" s="1"/>
  <c r="R18" i="26"/>
  <c r="P18" i="26"/>
  <c r="O18" i="26"/>
  <c r="M18" i="26"/>
  <c r="K18" i="26"/>
  <c r="I18" i="26"/>
  <c r="B18" i="26"/>
  <c r="AE17" i="26"/>
  <c r="S17" i="26"/>
  <c r="R17" i="26"/>
  <c r="P17" i="26"/>
  <c r="U17" i="26" s="1"/>
  <c r="M17" i="26"/>
  <c r="O17" i="26" s="1"/>
  <c r="K17" i="26"/>
  <c r="I17" i="26"/>
  <c r="B17" i="26"/>
  <c r="S16" i="26"/>
  <c r="R16" i="26"/>
  <c r="P16" i="26"/>
  <c r="U16" i="26" s="1"/>
  <c r="M16" i="26"/>
  <c r="O16" i="26" s="1"/>
  <c r="K16" i="26"/>
  <c r="I16" i="26"/>
  <c r="B16" i="26"/>
  <c r="AE15" i="26"/>
  <c r="S15" i="26"/>
  <c r="R15" i="26"/>
  <c r="P15" i="26"/>
  <c r="U15" i="26" s="1"/>
  <c r="O15" i="26"/>
  <c r="M15" i="26"/>
  <c r="K15" i="26"/>
  <c r="I15" i="26"/>
  <c r="B15" i="26"/>
  <c r="S14" i="26"/>
  <c r="R14" i="26"/>
  <c r="P14" i="26"/>
  <c r="U14" i="26" s="1"/>
  <c r="M14" i="26"/>
  <c r="O14" i="26" s="1"/>
  <c r="K14" i="26"/>
  <c r="I14" i="26"/>
  <c r="B14" i="26"/>
  <c r="AE13" i="26"/>
  <c r="S13" i="26"/>
  <c r="R13" i="26"/>
  <c r="P13" i="26"/>
  <c r="O13" i="26"/>
  <c r="M13" i="26"/>
  <c r="K13" i="26"/>
  <c r="I13" i="26"/>
  <c r="B13" i="26"/>
  <c r="A13" i="26"/>
  <c r="Y38" i="26" s="1"/>
  <c r="S12" i="26"/>
  <c r="R12" i="26"/>
  <c r="P12" i="26"/>
  <c r="U12" i="26" s="1"/>
  <c r="M12" i="26"/>
  <c r="O12" i="26" s="1"/>
  <c r="K12" i="26"/>
  <c r="I12" i="26"/>
  <c r="B12" i="26"/>
  <c r="AE11" i="26"/>
  <c r="S11" i="26"/>
  <c r="R11" i="26"/>
  <c r="P11" i="26"/>
  <c r="U11" i="26" s="1"/>
  <c r="M11" i="26"/>
  <c r="O11" i="26" s="1"/>
  <c r="K11" i="26"/>
  <c r="I11" i="26"/>
  <c r="B11" i="26"/>
  <c r="S10" i="26"/>
  <c r="R10" i="26"/>
  <c r="P10" i="26"/>
  <c r="U10" i="26" s="1"/>
  <c r="O10" i="26"/>
  <c r="M10" i="26"/>
  <c r="K10" i="26"/>
  <c r="I10" i="26"/>
  <c r="B10" i="26"/>
  <c r="S9" i="26"/>
  <c r="R9" i="26"/>
  <c r="P9" i="26"/>
  <c r="U9" i="26" s="1"/>
  <c r="M9" i="26"/>
  <c r="O9" i="26" s="1"/>
  <c r="K9" i="26"/>
  <c r="I9" i="26"/>
  <c r="B9" i="26"/>
  <c r="S8" i="26"/>
  <c r="R8" i="26"/>
  <c r="P8" i="26"/>
  <c r="M8" i="26"/>
  <c r="O8" i="26" s="1"/>
  <c r="K8" i="26"/>
  <c r="I8" i="26"/>
  <c r="B8" i="26"/>
  <c r="S7" i="26"/>
  <c r="R7" i="26"/>
  <c r="P7" i="26"/>
  <c r="O7" i="26"/>
  <c r="M7" i="26"/>
  <c r="K7" i="26"/>
  <c r="I7" i="26"/>
  <c r="B7" i="26"/>
  <c r="S6" i="26"/>
  <c r="R6" i="26"/>
  <c r="P6" i="26"/>
  <c r="U6" i="26" s="1"/>
  <c r="M6" i="26"/>
  <c r="O6" i="26" s="1"/>
  <c r="K6" i="26"/>
  <c r="I6" i="26"/>
  <c r="B6" i="26"/>
  <c r="A6" i="26"/>
  <c r="U37" i="26" l="1"/>
  <c r="U39" i="26"/>
  <c r="U33" i="26"/>
  <c r="U32" i="26"/>
  <c r="U7" i="26"/>
  <c r="U26" i="26"/>
  <c r="U13" i="26"/>
  <c r="U27" i="26"/>
  <c r="U8" i="26"/>
  <c r="Z24" i="26"/>
  <c r="Y6" i="26" l="1"/>
  <c r="AN37" i="25" s="1"/>
  <c r="L2" i="6" s="1"/>
  <c r="AC3" i="25"/>
  <c r="Z3" i="25"/>
  <c r="C12" i="25"/>
  <c r="J10" i="6"/>
  <c r="H10" i="6"/>
  <c r="AE22" i="25"/>
  <c r="Y22" i="25"/>
  <c r="S22" i="25"/>
  <c r="G22" i="25"/>
  <c r="X41" i="25"/>
  <c r="B38" i="25"/>
  <c r="B37" i="25"/>
  <c r="B36" i="25"/>
  <c r="B35" i="25"/>
  <c r="AF33" i="25"/>
  <c r="AE37" i="25" s="1"/>
  <c r="X33" i="25"/>
  <c r="Q33" i="25"/>
  <c r="AD30" i="25"/>
  <c r="AB30" i="25"/>
  <c r="X30" i="25"/>
  <c r="V30" i="25"/>
  <c r="R30" i="25"/>
  <c r="P30" i="25"/>
  <c r="L30" i="25"/>
  <c r="J30" i="25"/>
  <c r="F30" i="25"/>
  <c r="D30" i="25"/>
  <c r="AC29" i="25"/>
  <c r="AA29" i="25"/>
  <c r="S17" i="25" s="1"/>
  <c r="W29" i="25"/>
  <c r="Q17" i="25" s="1"/>
  <c r="U29" i="25"/>
  <c r="Q29" i="25"/>
  <c r="M17" i="25" s="1"/>
  <c r="O29" i="25"/>
  <c r="K29" i="25"/>
  <c r="I29" i="25"/>
  <c r="E29" i="25"/>
  <c r="E17" i="25" s="1"/>
  <c r="C29" i="25"/>
  <c r="C17" i="25" s="1"/>
  <c r="AF28" i="25"/>
  <c r="Z28" i="25"/>
  <c r="T28" i="25"/>
  <c r="N28" i="25"/>
  <c r="H28" i="25"/>
  <c r="AF27" i="25"/>
  <c r="Z27" i="25"/>
  <c r="T27" i="25"/>
  <c r="N27" i="25"/>
  <c r="H27" i="25"/>
  <c r="AF26" i="25"/>
  <c r="Z26" i="25"/>
  <c r="T26" i="25"/>
  <c r="N26" i="25"/>
  <c r="H26" i="25"/>
  <c r="AF25" i="25"/>
  <c r="Z25" i="25"/>
  <c r="T25" i="25"/>
  <c r="N25" i="25"/>
  <c r="H25" i="25"/>
  <c r="AF24" i="25"/>
  <c r="Z24" i="25"/>
  <c r="T24" i="25"/>
  <c r="N24" i="25"/>
  <c r="H24" i="25"/>
  <c r="AF23" i="25"/>
  <c r="Z23" i="25"/>
  <c r="T23" i="25"/>
  <c r="N23" i="25"/>
  <c r="H23" i="25"/>
  <c r="AF22" i="25"/>
  <c r="Z22" i="25"/>
  <c r="T22" i="25"/>
  <c r="N22" i="25"/>
  <c r="H22" i="25"/>
  <c r="AE21" i="25"/>
  <c r="AC21" i="25"/>
  <c r="AB21" i="25"/>
  <c r="AA21" i="25"/>
  <c r="Y21" i="25"/>
  <c r="W21" i="25"/>
  <c r="V21" i="25"/>
  <c r="U21" i="25"/>
  <c r="S21" i="25"/>
  <c r="Q21" i="25"/>
  <c r="P21" i="25"/>
  <c r="O21" i="25"/>
  <c r="M21" i="25"/>
  <c r="K21" i="25"/>
  <c r="J21" i="25"/>
  <c r="I21" i="25"/>
  <c r="F21" i="25"/>
  <c r="AD21" i="25" s="1"/>
  <c r="AA20" i="25"/>
  <c r="B39" i="25" s="1"/>
  <c r="U20" i="25"/>
  <c r="O15" i="25" s="1"/>
  <c r="O20" i="25"/>
  <c r="K15" i="25" s="1"/>
  <c r="I20" i="25"/>
  <c r="G15" i="25" s="1"/>
  <c r="C20" i="25"/>
  <c r="C15" i="25" s="1"/>
  <c r="Y18" i="25"/>
  <c r="W18" i="25"/>
  <c r="AA18" i="25" s="1"/>
  <c r="U17" i="25"/>
  <c r="S15" i="25"/>
  <c r="AD8" i="25"/>
  <c r="AH24" i="26" l="1"/>
  <c r="Y25" i="26" s="1"/>
  <c r="AM6" i="25"/>
  <c r="Y2" i="26"/>
  <c r="F5" i="26" s="1"/>
  <c r="S12" i="25"/>
  <c r="H44" i="6"/>
  <c r="E44" i="6"/>
  <c r="K44" i="6"/>
  <c r="U31" i="25"/>
  <c r="I31" i="25"/>
  <c r="O17" i="25"/>
  <c r="K31" i="25"/>
  <c r="O31" i="25"/>
  <c r="L21" i="25"/>
  <c r="H30" i="25"/>
  <c r="W31" i="25"/>
  <c r="AG34" i="25"/>
  <c r="X21" i="25"/>
  <c r="N30" i="25"/>
  <c r="E31" i="25"/>
  <c r="AC31" i="25"/>
  <c r="AG35" i="25"/>
  <c r="H21" i="25"/>
  <c r="R21" i="25"/>
  <c r="AF3" i="25"/>
  <c r="AM27" i="25" s="1"/>
  <c r="A22" i="25"/>
  <c r="AG22" i="25" s="1"/>
  <c r="AA31" i="25"/>
  <c r="AF30" i="25"/>
  <c r="Z30" i="25"/>
  <c r="T30" i="25"/>
  <c r="I17" i="25"/>
  <c r="Y17" i="25" s="1"/>
  <c r="G17" i="25"/>
  <c r="C31" i="25"/>
  <c r="Q31" i="25"/>
  <c r="K17" i="25"/>
  <c r="AA30" i="26" l="1"/>
  <c r="F23" i="6"/>
  <c r="E25" i="6"/>
  <c r="E27" i="6"/>
  <c r="AM7" i="25"/>
  <c r="Y11" i="25"/>
  <c r="R2" i="26"/>
  <c r="AM30" i="25"/>
  <c r="E33" i="6" s="1"/>
  <c r="D36" i="25"/>
  <c r="X36" i="25" s="1"/>
  <c r="AM26" i="25"/>
  <c r="AM28" i="25"/>
  <c r="G29" i="6" s="1"/>
  <c r="AF21" i="25"/>
  <c r="Z21" i="25"/>
  <c r="T21" i="25"/>
  <c r="N21" i="25"/>
  <c r="AM29" i="25"/>
  <c r="E31" i="6" s="1"/>
  <c r="AM8" i="25"/>
  <c r="D37" i="25" s="1"/>
  <c r="X37" i="25" s="1"/>
  <c r="AB37" i="25" s="1"/>
  <c r="AM13" i="25"/>
  <c r="D40" i="25" s="1"/>
  <c r="X40" i="25" s="1"/>
  <c r="AB40" i="25" s="1"/>
  <c r="AM12" i="25"/>
  <c r="D39" i="25" s="1"/>
  <c r="X39" i="25" s="1"/>
  <c r="P39" i="25" s="1"/>
  <c r="AM10" i="25"/>
  <c r="D38" i="25" s="1"/>
  <c r="X38" i="25" s="1"/>
  <c r="P38" i="25" s="1"/>
  <c r="AM11" i="25"/>
  <c r="AM5" i="25"/>
  <c r="D35" i="25" s="1"/>
  <c r="X35" i="25" s="1"/>
  <c r="AM9" i="25"/>
  <c r="O12" i="25"/>
  <c r="AG30" i="25"/>
  <c r="W17" i="25"/>
  <c r="AA16" i="25" s="1"/>
  <c r="A23" i="25" l="1"/>
  <c r="Y23" i="25" s="1"/>
  <c r="P2" i="26"/>
  <c r="AD18" i="25"/>
  <c r="AB39" i="25"/>
  <c r="P40" i="25"/>
  <c r="P37" i="25"/>
  <c r="AB38" i="25"/>
  <c r="AB35" i="25"/>
  <c r="P35" i="25"/>
  <c r="P36" i="25"/>
  <c r="AB36" i="25"/>
  <c r="H5" i="26" l="1"/>
  <c r="J5" i="26"/>
  <c r="N5" i="26"/>
  <c r="AG23" i="25"/>
  <c r="M23" i="25"/>
  <c r="AE23" i="25"/>
  <c r="S23" i="25"/>
  <c r="G23" i="25"/>
  <c r="L5" i="26"/>
  <c r="A24" i="25"/>
  <c r="AB41" i="25"/>
  <c r="A25" i="25"/>
  <c r="AG24" i="25" l="1"/>
  <c r="S24" i="25"/>
  <c r="S25" i="25" s="1"/>
  <c r="AE24" i="25"/>
  <c r="AE25" i="25" s="1"/>
  <c r="Y24" i="25"/>
  <c r="Y25" i="25" s="1"/>
  <c r="M24" i="25"/>
  <c r="G24" i="25"/>
  <c r="M25" i="25"/>
  <c r="G25" i="25"/>
  <c r="A26" i="25"/>
  <c r="AG25" i="25"/>
  <c r="M26" i="25" l="1"/>
  <c r="Y26" i="25"/>
  <c r="G26" i="25"/>
  <c r="AE26" i="25"/>
  <c r="S26" i="25"/>
  <c r="AG26" i="25"/>
  <c r="A27" i="25"/>
  <c r="Y27" i="25" l="1"/>
  <c r="G27" i="25"/>
  <c r="S27" i="25"/>
  <c r="AE27" i="25"/>
  <c r="M27" i="25"/>
  <c r="AG27" i="25"/>
  <c r="A28" i="25"/>
  <c r="AG28" i="25" l="1"/>
  <c r="G28" i="25"/>
  <c r="S28" i="25"/>
  <c r="S29" i="25" s="1"/>
  <c r="S31" i="25" s="1"/>
  <c r="F37" i="25" s="1"/>
  <c r="Y28" i="25"/>
  <c r="Y29" i="25" s="1"/>
  <c r="Y31" i="25" s="1"/>
  <c r="F38" i="25" s="1"/>
  <c r="AE28" i="25"/>
  <c r="AE29" i="25" s="1"/>
  <c r="AE31" i="25" s="1"/>
  <c r="F39" i="25" s="1"/>
  <c r="M28" i="25"/>
  <c r="M29" i="25" s="1"/>
  <c r="M31" i="25" s="1"/>
  <c r="F36" i="25" s="1"/>
  <c r="G29" i="25"/>
  <c r="R36" i="25" l="1"/>
  <c r="T36" i="25" s="1"/>
  <c r="H36" i="25"/>
  <c r="R38" i="25"/>
  <c r="T38" i="25" s="1"/>
  <c r="H38" i="25"/>
  <c r="R39" i="25"/>
  <c r="T39" i="25" s="1"/>
  <c r="H39" i="25"/>
  <c r="R37" i="25"/>
  <c r="T37" i="25" s="1"/>
  <c r="H37" i="25"/>
  <c r="G31" i="25"/>
  <c r="AG29" i="25"/>
  <c r="F35" i="25" l="1"/>
  <c r="AG31" i="25"/>
  <c r="F40" i="25" s="1"/>
  <c r="H40" i="25" l="1"/>
  <c r="R40" i="25"/>
  <c r="T40" i="25" s="1"/>
  <c r="R35" i="25"/>
  <c r="T35" i="25" s="1"/>
  <c r="H35" i="25"/>
  <c r="K35" i="25" l="1"/>
  <c r="AN35" i="25" s="1"/>
  <c r="T41" i="25"/>
  <c r="I2" i="6" l="1"/>
  <c r="AN39" i="25"/>
  <c r="K1" i="6" s="1"/>
</calcChain>
</file>

<file path=xl/sharedStrings.xml><?xml version="1.0" encoding="utf-8"?>
<sst xmlns="http://schemas.openxmlformats.org/spreadsheetml/2006/main" count="358" uniqueCount="170">
  <si>
    <t>合計</t>
    <rPh sb="0" eb="2">
      <t>ゴウケイ</t>
    </rPh>
    <phoneticPr fontId="4"/>
  </si>
  <si>
    <t>　【選択】</t>
    <rPh sb="2" eb="4">
      <t>センタク</t>
    </rPh>
    <phoneticPr fontId="8"/>
  </si>
  <si>
    <t>皿</t>
    <rPh sb="0" eb="1">
      <t>サラ</t>
    </rPh>
    <phoneticPr fontId="8"/>
  </si>
  <si>
    <t>食</t>
    <rPh sb="0" eb="1">
      <t>ショク</t>
    </rPh>
    <phoneticPr fontId="8"/>
  </si>
  <si>
    <t>STEP.４</t>
    <phoneticPr fontId="8"/>
  </si>
  <si>
    <t>昼</t>
    <rPh sb="0" eb="1">
      <t>ヒル</t>
    </rPh>
    <phoneticPr fontId="8"/>
  </si>
  <si>
    <t>朝</t>
    <rPh sb="0" eb="1">
      <t>アサ</t>
    </rPh>
    <phoneticPr fontId="8"/>
  </si>
  <si>
    <t>夜</t>
    <rPh sb="0" eb="1">
      <t>ヨル</t>
    </rPh>
    <phoneticPr fontId="8"/>
  </si>
  <si>
    <t>　【必須】</t>
    <rPh sb="2" eb="4">
      <t>ヒッス</t>
    </rPh>
    <phoneticPr fontId="8"/>
  </si>
  <si>
    <t>STEP.3</t>
  </si>
  <si>
    <t>人</t>
    <rPh sb="0" eb="1">
      <t>ニン</t>
    </rPh>
    <phoneticPr fontId="8"/>
  </si>
  <si>
    <t>合計</t>
    <rPh sb="0" eb="2">
      <t>ゴウケイ</t>
    </rPh>
    <phoneticPr fontId="8"/>
  </si>
  <si>
    <t>※幼児食対応、シーツなし</t>
    <rPh sb="1" eb="4">
      <t>ヨウジショク</t>
    </rPh>
    <rPh sb="4" eb="6">
      <t>タイオウ</t>
    </rPh>
    <phoneticPr fontId="8"/>
  </si>
  <si>
    <t>利用人数</t>
    <rPh sb="0" eb="2">
      <t>リヨウ</t>
    </rPh>
    <rPh sb="2" eb="4">
      <t>ニンズウ</t>
    </rPh>
    <phoneticPr fontId="8"/>
  </si>
  <si>
    <t>利用する人数を入力してください</t>
    <rPh sb="0" eb="2">
      <t>リヨウ</t>
    </rPh>
    <rPh sb="4" eb="6">
      <t>ニンズウ</t>
    </rPh>
    <rPh sb="7" eb="9">
      <t>ニュウリョク</t>
    </rPh>
    <phoneticPr fontId="8"/>
  </si>
  <si>
    <t>STEP.1</t>
    <phoneticPr fontId="8"/>
  </si>
  <si>
    <t>合計金額</t>
    <rPh sb="0" eb="4">
      <t>ゴウケイキンガク</t>
    </rPh>
    <phoneticPr fontId="8"/>
  </si>
  <si>
    <t>佐賀県波戸岬少年自然の家　　利用統括表</t>
  </si>
  <si>
    <t>受付</t>
    <rPh sb="0" eb="2">
      <t>ウケツケ</t>
    </rPh>
    <phoneticPr fontId="4"/>
  </si>
  <si>
    <t>県内</t>
    <rPh sb="0" eb="2">
      <t>ケンナイ</t>
    </rPh>
    <phoneticPr fontId="4"/>
  </si>
  <si>
    <t>繫忙期</t>
    <rPh sb="0" eb="3">
      <t>ハンボウキ</t>
    </rPh>
    <phoneticPr fontId="4"/>
  </si>
  <si>
    <t>閑散期開始</t>
    <rPh sb="0" eb="5">
      <t>カンサンキカイシ</t>
    </rPh>
    <phoneticPr fontId="4"/>
  </si>
  <si>
    <t>閑散期終了</t>
    <rPh sb="0" eb="5">
      <t>カンサンキシュウリョウ</t>
    </rPh>
    <phoneticPr fontId="4"/>
  </si>
  <si>
    <t>県外</t>
    <rPh sb="0" eb="2">
      <t>ケンガイ</t>
    </rPh>
    <phoneticPr fontId="4"/>
  </si>
  <si>
    <t>閑散期</t>
    <rPh sb="0" eb="3">
      <t>カンサンキ</t>
    </rPh>
    <phoneticPr fontId="4"/>
  </si>
  <si>
    <t>ご確認のサイン：</t>
    <rPh sb="1" eb="3">
      <t>カクニン</t>
    </rPh>
    <phoneticPr fontId="4"/>
  </si>
  <si>
    <t>教育</t>
    <rPh sb="0" eb="2">
      <t>キョウイク</t>
    </rPh>
    <phoneticPr fontId="7"/>
  </si>
  <si>
    <t>一般</t>
    <rPh sb="0" eb="2">
      <t>イッパン</t>
    </rPh>
    <phoneticPr fontId="7"/>
  </si>
  <si>
    <t>単価</t>
    <rPh sb="0" eb="2">
      <t>タンカ</t>
    </rPh>
    <phoneticPr fontId="7"/>
  </si>
  <si>
    <t>摘要</t>
    <rPh sb="0" eb="2">
      <t>テキヨウ</t>
    </rPh>
    <phoneticPr fontId="7"/>
  </si>
  <si>
    <t>県内</t>
    <rPh sb="0" eb="2">
      <t>ケンナイ</t>
    </rPh>
    <phoneticPr fontId="7"/>
  </si>
  <si>
    <t>県外</t>
    <rPh sb="0" eb="2">
      <t>ケンガイ</t>
    </rPh>
    <phoneticPr fontId="7"/>
  </si>
  <si>
    <t>県外 繁忙期</t>
    <rPh sb="0" eb="2">
      <t>ケンガイ</t>
    </rPh>
    <rPh sb="3" eb="6">
      <t>ハンボウキ</t>
    </rPh>
    <phoneticPr fontId="7"/>
  </si>
  <si>
    <t>県外 閑散期</t>
    <rPh sb="0" eb="2">
      <t>ケンガイ</t>
    </rPh>
    <rPh sb="3" eb="6">
      <t>カンサンキ</t>
    </rPh>
    <phoneticPr fontId="7"/>
  </si>
  <si>
    <t>利用団体</t>
    <phoneticPr fontId="4"/>
  </si>
  <si>
    <t>団体名</t>
  </si>
  <si>
    <t>なし</t>
    <phoneticPr fontId="4"/>
  </si>
  <si>
    <t>3歳未満</t>
    <rPh sb="1" eb="4">
      <t>サイミマン</t>
    </rPh>
    <phoneticPr fontId="7"/>
  </si>
  <si>
    <t>寝具代</t>
    <rPh sb="0" eb="3">
      <t>シングダイ</t>
    </rPh>
    <phoneticPr fontId="7"/>
  </si>
  <si>
    <t>あり</t>
    <phoneticPr fontId="4"/>
  </si>
  <si>
    <t>中学生以下</t>
    <rPh sb="0" eb="3">
      <t>チュウガクセイ</t>
    </rPh>
    <rPh sb="3" eb="5">
      <t>イカ</t>
    </rPh>
    <phoneticPr fontId="7"/>
  </si>
  <si>
    <t>宿泊代</t>
    <rPh sb="0" eb="3">
      <t>シュクハクダイ</t>
    </rPh>
    <phoneticPr fontId="4"/>
  </si>
  <si>
    <t>宿泊代</t>
    <rPh sb="0" eb="3">
      <t>シュクハクダイ</t>
    </rPh>
    <phoneticPr fontId="7"/>
  </si>
  <si>
    <t>所在地</t>
  </si>
  <si>
    <t>※ 国外からの送金</t>
    <rPh sb="2" eb="4">
      <t>コクガイ</t>
    </rPh>
    <rPh sb="7" eb="9">
      <t>ソウキン</t>
    </rPh>
    <phoneticPr fontId="4"/>
  </si>
  <si>
    <t>なし</t>
  </si>
  <si>
    <t>高校・大学・23歳未満</t>
    <rPh sb="0" eb="2">
      <t>コウコウ</t>
    </rPh>
    <rPh sb="3" eb="5">
      <t>ダイガク</t>
    </rPh>
    <rPh sb="8" eb="11">
      <t>サイミマン</t>
    </rPh>
    <phoneticPr fontId="7"/>
  </si>
  <si>
    <t>責任者名</t>
    <rPh sb="0" eb="4">
      <t>セキニンシャメイ</t>
    </rPh>
    <phoneticPr fontId="4"/>
  </si>
  <si>
    <t>教職員</t>
    <rPh sb="0" eb="3">
      <t>キョウショクイン</t>
    </rPh>
    <phoneticPr fontId="7"/>
  </si>
  <si>
    <t>利用期間</t>
  </si>
  <si>
    <t>～</t>
    <phoneticPr fontId="4"/>
  </si>
  <si>
    <t>泊</t>
    <rPh sb="0" eb="1">
      <t>ハク</t>
    </rPh>
    <phoneticPr fontId="4"/>
  </si>
  <si>
    <t>日</t>
    <rPh sb="0" eb="1">
      <t>ヒ</t>
    </rPh>
    <phoneticPr fontId="4"/>
  </si>
  <si>
    <t>大人等</t>
    <rPh sb="0" eb="3">
      <t>オトナトウ</t>
    </rPh>
    <phoneticPr fontId="7"/>
  </si>
  <si>
    <t>宿泊人員</t>
    <rPh sb="0" eb="2">
      <t>シュクハク</t>
    </rPh>
    <phoneticPr fontId="4"/>
  </si>
  <si>
    <t>男性</t>
  </si>
  <si>
    <t>女性</t>
  </si>
  <si>
    <t>手数料</t>
    <rPh sb="0" eb="3">
      <t>テスウリョウ</t>
    </rPh>
    <phoneticPr fontId="7"/>
  </si>
  <si>
    <t>被仕向送金手数料</t>
    <rPh sb="0" eb="8">
      <t>ヒシムケソウキンテスウリョウ</t>
    </rPh>
    <phoneticPr fontId="7"/>
  </si>
  <si>
    <t>被仕向送金手数料は、１件ごとに生じるので、まとめて１件で送金する場合は、宿泊料・食事代・利用料のいずれかで徴収。別々に送金する場合は、それぞれで徴収。</t>
    <rPh sb="0" eb="8">
      <t>ヒシムケソウキンテスウリョウ</t>
    </rPh>
    <rPh sb="11" eb="12">
      <t>ケン</t>
    </rPh>
    <rPh sb="15" eb="16">
      <t>ショウ</t>
    </rPh>
    <rPh sb="26" eb="27">
      <t>ケン</t>
    </rPh>
    <rPh sb="28" eb="30">
      <t>ソウキン</t>
    </rPh>
    <rPh sb="32" eb="34">
      <t>バアイ</t>
    </rPh>
    <rPh sb="36" eb="39">
      <t>シュクハクリョウ</t>
    </rPh>
    <rPh sb="40" eb="43">
      <t>ショクジダイ</t>
    </rPh>
    <rPh sb="44" eb="47">
      <t>リヨウリョウ</t>
    </rPh>
    <rPh sb="53" eb="55">
      <t>チョウシュウ</t>
    </rPh>
    <rPh sb="56" eb="65">
      <t>ベツベツニソウキンスルバアイ</t>
    </rPh>
    <rPh sb="72" eb="74">
      <t>チョウシュウ</t>
    </rPh>
    <phoneticPr fontId="4"/>
  </si>
  <si>
    <t>日帰り</t>
    <rPh sb="0" eb="2">
      <t>ヒガエ</t>
    </rPh>
    <phoneticPr fontId="4"/>
  </si>
  <si>
    <t>宿泊日・宿泊人数</t>
    <phoneticPr fontId="4"/>
  </si>
  <si>
    <t>宿泊期日</t>
  </si>
  <si>
    <t>宿泊人数
合計</t>
  </si>
  <si>
    <t>男性</t>
    <phoneticPr fontId="4"/>
  </si>
  <si>
    <t>減免</t>
    <rPh sb="0" eb="2">
      <t>ゲンメン</t>
    </rPh>
    <phoneticPr fontId="4"/>
  </si>
  <si>
    <t>女性</t>
    <phoneticPr fontId="4"/>
  </si>
  <si>
    <t>小計</t>
  </si>
  <si>
    <t>宿泊延人数</t>
  </si>
  <si>
    <t>減免者延人数</t>
  </si>
  <si>
    <t>差引合計人数</t>
  </si>
  <si>
    <t>利用料金</t>
    <rPh sb="0" eb="2">
      <t>リヨウ</t>
    </rPh>
    <rPh sb="2" eb="4">
      <t>リョウキン</t>
    </rPh>
    <phoneticPr fontId="4"/>
  </si>
  <si>
    <t>宛名</t>
    <rPh sb="0" eb="2">
      <t>アテナ</t>
    </rPh>
    <phoneticPr fontId="4"/>
  </si>
  <si>
    <t>波戸カメラ</t>
    <rPh sb="0" eb="2">
      <t>ハド</t>
    </rPh>
    <phoneticPr fontId="4"/>
  </si>
  <si>
    <t>円</t>
  </si>
  <si>
    <t>人＝</t>
    <rPh sb="0" eb="1">
      <t>ニン</t>
    </rPh>
    <phoneticPr fontId="4"/>
  </si>
  <si>
    <t>寝具代</t>
    <rPh sb="0" eb="2">
      <t>シング</t>
    </rPh>
    <rPh sb="2" eb="3">
      <t>ダイ</t>
    </rPh>
    <phoneticPr fontId="4"/>
  </si>
  <si>
    <t>円</t>
    <rPh sb="0" eb="1">
      <t>エン</t>
    </rPh>
    <phoneticPr fontId="4"/>
  </si>
  <si>
    <t>組＝</t>
    <rPh sb="0" eb="1">
      <t>クミ</t>
    </rPh>
    <phoneticPr fontId="4"/>
  </si>
  <si>
    <t>団体区分を選択し、利用期間を入力てください。</t>
    <rPh sb="0" eb="4">
      <t>ダンタイクブン</t>
    </rPh>
    <rPh sb="5" eb="7">
      <t>センタク</t>
    </rPh>
    <rPh sb="9" eb="13">
      <t>リヨウキカン</t>
    </rPh>
    <rPh sb="14" eb="16">
      <t>ニュウリョク</t>
    </rPh>
    <phoneticPr fontId="5"/>
  </si>
  <si>
    <t>～</t>
    <phoneticPr fontId="5"/>
  </si>
  <si>
    <t>泊</t>
    <rPh sb="0" eb="1">
      <t>ハク</t>
    </rPh>
    <phoneticPr fontId="5"/>
  </si>
  <si>
    <t>日</t>
    <rPh sb="0" eb="1">
      <t>ヒ</t>
    </rPh>
    <phoneticPr fontId="5"/>
  </si>
  <si>
    <t>【入力例】</t>
    <rPh sb="1" eb="3">
      <t>ニュウリョク</t>
    </rPh>
    <rPh sb="3" eb="4">
      <t>レイ</t>
    </rPh>
    <phoneticPr fontId="5"/>
  </si>
  <si>
    <t>　波戸岬少年自然の家　料金シミュレーション</t>
    <rPh sb="1" eb="8">
      <t>ハドミサキショウネンシゼン</t>
    </rPh>
    <rPh sb="9" eb="10">
      <t>イエ</t>
    </rPh>
    <rPh sb="11" eb="13">
      <t>リョウキン</t>
    </rPh>
    <phoneticPr fontId="8"/>
  </si>
  <si>
    <t>STEP.２</t>
    <phoneticPr fontId="8"/>
  </si>
  <si>
    <t>■宿泊費（シーツ代込）</t>
    <rPh sb="1" eb="3">
      <t>シュクハク</t>
    </rPh>
    <rPh sb="3" eb="5">
      <t>シュクハク</t>
    </rPh>
    <rPh sb="6" eb="7">
      <t>ダイ</t>
    </rPh>
    <rPh sb="9" eb="10">
      <t>コミ</t>
    </rPh>
    <phoneticPr fontId="8"/>
  </si>
  <si>
    <t>✓　高校生・学生又は23歳未満の青年　</t>
    <rPh sb="2" eb="5">
      <t>コウコウセイ</t>
    </rPh>
    <rPh sb="6" eb="8">
      <t>ガクセイ</t>
    </rPh>
    <rPh sb="8" eb="9">
      <t>マタ</t>
    </rPh>
    <rPh sb="12" eb="13">
      <t>サイ</t>
    </rPh>
    <rPh sb="13" eb="15">
      <t>ミマン</t>
    </rPh>
    <rPh sb="16" eb="18">
      <t>セイネン</t>
    </rPh>
    <phoneticPr fontId="8"/>
  </si>
  <si>
    <t>✓　3歳未満幼児</t>
    <rPh sb="3" eb="4">
      <t>サイ</t>
    </rPh>
    <rPh sb="4" eb="6">
      <t>ミマン</t>
    </rPh>
    <rPh sb="6" eb="8">
      <t>ヨウジ</t>
    </rPh>
    <phoneticPr fontId="8"/>
  </si>
  <si>
    <t>食事料金計算表</t>
    <rPh sb="0" eb="2">
      <t>ショクジ</t>
    </rPh>
    <rPh sb="2" eb="4">
      <t>リョウキン</t>
    </rPh>
    <rPh sb="4" eb="6">
      <t>ケイサン</t>
    </rPh>
    <rPh sb="6" eb="7">
      <t>ヒョウ</t>
    </rPh>
    <phoneticPr fontId="8"/>
  </si>
  <si>
    <t>団体名</t>
    <rPh sb="0" eb="1">
      <t>ダン</t>
    </rPh>
    <rPh sb="1" eb="2">
      <t>カラダ</t>
    </rPh>
    <rPh sb="2" eb="3">
      <t>メイ</t>
    </rPh>
    <phoneticPr fontId="8"/>
  </si>
  <si>
    <t>朝食</t>
  </si>
  <si>
    <t>小学生未満対象</t>
  </si>
  <si>
    <t>宿泊日数</t>
    <rPh sb="0" eb="2">
      <t>シュクハク</t>
    </rPh>
    <rPh sb="2" eb="4">
      <t>ニッスウ</t>
    </rPh>
    <phoneticPr fontId="8"/>
  </si>
  <si>
    <t>受付日</t>
    <rPh sb="0" eb="2">
      <t>ウケツケ</t>
    </rPh>
    <phoneticPr fontId="8"/>
  </si>
  <si>
    <t>小学生対象</t>
  </si>
  <si>
    <t>積算担当</t>
    <rPh sb="0" eb="4">
      <t>セキサンタントウ</t>
    </rPh>
    <phoneticPr fontId="4"/>
  </si>
  <si>
    <t>中学生以上対象</t>
  </si>
  <si>
    <t>アスリート食</t>
    <rPh sb="5" eb="6">
      <t>ショク</t>
    </rPh>
    <phoneticPr fontId="7"/>
  </si>
  <si>
    <t>区分</t>
    <rPh sb="0" eb="2">
      <t>クブン</t>
    </rPh>
    <phoneticPr fontId="4"/>
  </si>
  <si>
    <t>単価</t>
    <rPh sb="0" eb="2">
      <t>タンカ</t>
    </rPh>
    <phoneticPr fontId="4"/>
  </si>
  <si>
    <t>料金</t>
    <rPh sb="0" eb="2">
      <t>リョウキン</t>
    </rPh>
    <phoneticPr fontId="4"/>
  </si>
  <si>
    <t>左記合計</t>
    <rPh sb="0" eb="4">
      <t>サキゴウケイ</t>
    </rPh>
    <phoneticPr fontId="4"/>
  </si>
  <si>
    <t>おかず追加</t>
    <rPh sb="3" eb="5">
      <t>ツイカ</t>
    </rPh>
    <phoneticPr fontId="7"/>
  </si>
  <si>
    <t>食</t>
    <rPh sb="0" eb="1">
      <t>ショク</t>
    </rPh>
    <phoneticPr fontId="4"/>
  </si>
  <si>
    <t>特別食</t>
    <rPh sb="0" eb="3">
      <t>トクベツショク</t>
    </rPh>
    <phoneticPr fontId="7"/>
  </si>
  <si>
    <t>白米（１合）</t>
    <rPh sb="0" eb="2">
      <t>ハクマイ</t>
    </rPh>
    <rPh sb="4" eb="5">
      <t>ゴウ</t>
    </rPh>
    <phoneticPr fontId="7"/>
  </si>
  <si>
    <t>氷（２㎏）</t>
    <rPh sb="0" eb="1">
      <t>コオリ</t>
    </rPh>
    <phoneticPr fontId="7"/>
  </si>
  <si>
    <t>●その他の料金</t>
    <rPh sb="3" eb="4">
      <t>タ</t>
    </rPh>
    <rPh sb="5" eb="7">
      <t>リョウキン</t>
    </rPh>
    <phoneticPr fontId="4"/>
  </si>
  <si>
    <t>昼食</t>
  </si>
  <si>
    <t>名称</t>
    <rPh sb="0" eb="2">
      <t>メイショウ</t>
    </rPh>
    <phoneticPr fontId="4"/>
  </si>
  <si>
    <t>数量</t>
    <rPh sb="0" eb="2">
      <t>スウリョウ</t>
    </rPh>
    <phoneticPr fontId="4"/>
  </si>
  <si>
    <t>小計</t>
    <rPh sb="0" eb="2">
      <t>ショウケイ</t>
    </rPh>
    <phoneticPr fontId="4"/>
  </si>
  <si>
    <t>袋</t>
    <rPh sb="0" eb="1">
      <t>フクロ</t>
    </rPh>
    <phoneticPr fontId="4"/>
  </si>
  <si>
    <t>弁当（小）</t>
  </si>
  <si>
    <t>弁当（中）</t>
  </si>
  <si>
    <t>弁当（中）アレルギー対応</t>
  </si>
  <si>
    <t>弁当（大）</t>
  </si>
  <si>
    <t>弁当（大）アレルギー対応</t>
  </si>
  <si>
    <t>野外炊飯</t>
  </si>
  <si>
    <t>野外炊飯（BBQ）</t>
  </si>
  <si>
    <t>夕食</t>
  </si>
  <si>
    <t>計</t>
    <rPh sb="0" eb="1">
      <t>ケイ</t>
    </rPh>
    <phoneticPr fontId="4"/>
  </si>
  <si>
    <t>箱</t>
    <rPh sb="0" eb="1">
      <t>ハコ</t>
    </rPh>
    <phoneticPr fontId="4"/>
  </si>
  <si>
    <t>BBQ追加</t>
  </si>
  <si>
    <t>炭（3㎏）</t>
    <rPh sb="0" eb="1">
      <t>スミ</t>
    </rPh>
    <phoneticPr fontId="4"/>
  </si>
  <si>
    <t>皿</t>
    <rPh sb="0" eb="1">
      <t>サラ</t>
    </rPh>
    <phoneticPr fontId="4"/>
  </si>
  <si>
    <t>牛肉（200g）</t>
    <phoneticPr fontId="4"/>
  </si>
  <si>
    <t>豚バラ串</t>
    <rPh sb="3" eb="4">
      <t>クシ</t>
    </rPh>
    <phoneticPr fontId="4"/>
  </si>
  <si>
    <t>食×</t>
    <rPh sb="0" eb="2">
      <t>ショクバツ</t>
    </rPh>
    <phoneticPr fontId="4"/>
  </si>
  <si>
    <t>円＝</t>
    <rPh sb="0" eb="1">
      <t>エン</t>
    </rPh>
    <phoneticPr fontId="4"/>
  </si>
  <si>
    <t>鳥皮串</t>
    <rPh sb="2" eb="3">
      <t>クシ</t>
    </rPh>
    <phoneticPr fontId="4"/>
  </si>
  <si>
    <t>鶏モモ</t>
  </si>
  <si>
    <t>野菜・ウインナー4</t>
    <phoneticPr fontId="4"/>
  </si>
  <si>
    <t>追加</t>
    <rPh sb="0" eb="2">
      <t>ツイカ</t>
    </rPh>
    <phoneticPr fontId="4"/>
  </si>
  <si>
    <t>×</t>
    <phoneticPr fontId="4"/>
  </si>
  <si>
    <t>ウインナー8本</t>
    <rPh sb="6" eb="7">
      <t>ホン</t>
    </rPh>
    <phoneticPr fontId="7"/>
  </si>
  <si>
    <t>キャンセル料</t>
  </si>
  <si>
    <t>内容は備考欄に掲載</t>
  </si>
  <si>
    <t>✓　3歳以上小学生以下　</t>
    <rPh sb="3" eb="4">
      <t>サイ</t>
    </rPh>
    <rPh sb="4" eb="6">
      <t>イジョウ</t>
    </rPh>
    <rPh sb="6" eb="9">
      <t>ショウガクセイ</t>
    </rPh>
    <rPh sb="9" eb="11">
      <t>イカ</t>
    </rPh>
    <phoneticPr fontId="8"/>
  </si>
  <si>
    <t>✓　小学生　</t>
    <rPh sb="2" eb="5">
      <t>ショウガクセイ</t>
    </rPh>
    <phoneticPr fontId="8"/>
  </si>
  <si>
    <t>✓　中学生</t>
    <rPh sb="2" eb="5">
      <t>チュウガクセイ</t>
    </rPh>
    <phoneticPr fontId="8"/>
  </si>
  <si>
    <t>夜</t>
    <rPh sb="0" eb="1">
      <t>ヨル</t>
    </rPh>
    <phoneticPr fontId="5"/>
  </si>
  <si>
    <t>朝</t>
    <rPh sb="0" eb="1">
      <t>アサ</t>
    </rPh>
    <phoneticPr fontId="5"/>
  </si>
  <si>
    <t>昼</t>
    <rPh sb="0" eb="1">
      <t>ヒル</t>
    </rPh>
    <phoneticPr fontId="5"/>
  </si>
  <si>
    <t>※料金計算は宿泊者のみで行っています。日帰りの方は含みません。</t>
    <rPh sb="1" eb="5">
      <t>リョウキンケイサン</t>
    </rPh>
    <rPh sb="6" eb="9">
      <t>シュクハクシャ</t>
    </rPh>
    <rPh sb="12" eb="13">
      <t>オコナ</t>
    </rPh>
    <rPh sb="19" eb="21">
      <t>ヒガエ</t>
    </rPh>
    <rPh sb="23" eb="24">
      <t>カタ</t>
    </rPh>
    <rPh sb="25" eb="26">
      <t>フク</t>
    </rPh>
    <phoneticPr fontId="8"/>
  </si>
  <si>
    <t>レストランで食事をとるタイミングを選んでください</t>
    <rPh sb="6" eb="8">
      <t>ショクジ</t>
    </rPh>
    <rPh sb="17" eb="18">
      <t>エラ</t>
    </rPh>
    <phoneticPr fontId="8"/>
  </si>
  <si>
    <t>・　野外炊飯　（カレー、焼きそば、豚汁）　　800円</t>
    <rPh sb="2" eb="6">
      <t>ヤガイスイハン</t>
    </rPh>
    <rPh sb="12" eb="13">
      <t>ヤ</t>
    </rPh>
    <rPh sb="17" eb="19">
      <t>トンジル</t>
    </rPh>
    <rPh sb="25" eb="26">
      <t>エン</t>
    </rPh>
    <phoneticPr fontId="8"/>
  </si>
  <si>
    <t>・　野外炊飯　（BBQ）　　1,800円</t>
    <rPh sb="2" eb="6">
      <t>ヤガイスイハン</t>
    </rPh>
    <rPh sb="19" eb="20">
      <t>エン</t>
    </rPh>
    <phoneticPr fontId="8"/>
  </si>
  <si>
    <t>　　【BBQ追加メニュー】</t>
    <rPh sb="6" eb="8">
      <t>ツイカ</t>
    </rPh>
    <phoneticPr fontId="8"/>
  </si>
  <si>
    <t>・　焼き野菜3品,ウインナー（2人前）　　500円</t>
    <rPh sb="2" eb="3">
      <t>ヤ</t>
    </rPh>
    <rPh sb="4" eb="6">
      <t>ヤサイ</t>
    </rPh>
    <rPh sb="7" eb="8">
      <t>シナ</t>
    </rPh>
    <rPh sb="16" eb="18">
      <t>ニンマエ</t>
    </rPh>
    <rPh sb="24" eb="25">
      <t>エン</t>
    </rPh>
    <phoneticPr fontId="8"/>
  </si>
  <si>
    <t>・　豚バラ串5本　　500円</t>
    <rPh sb="2" eb="3">
      <t>ブタ</t>
    </rPh>
    <rPh sb="5" eb="6">
      <t>クシ</t>
    </rPh>
    <rPh sb="7" eb="8">
      <t>ホン</t>
    </rPh>
    <rPh sb="13" eb="14">
      <t>エン</t>
    </rPh>
    <phoneticPr fontId="8"/>
  </si>
  <si>
    <t>・　鶏もも串5本　　500円</t>
    <rPh sb="2" eb="3">
      <t>トリ</t>
    </rPh>
    <rPh sb="5" eb="6">
      <t>クシ</t>
    </rPh>
    <rPh sb="7" eb="8">
      <t>ホン</t>
    </rPh>
    <rPh sb="13" eb="14">
      <t>エン</t>
    </rPh>
    <phoneticPr fontId="8"/>
  </si>
  <si>
    <t>・　牛肉320g（2人前・タレ付）　　2,000円</t>
    <rPh sb="2" eb="4">
      <t>ギュウニク</t>
    </rPh>
    <rPh sb="10" eb="12">
      <t>ニンマエ</t>
    </rPh>
    <rPh sb="15" eb="16">
      <t>ツキ</t>
    </rPh>
    <rPh sb="24" eb="25">
      <t>エン</t>
    </rPh>
    <phoneticPr fontId="8"/>
  </si>
  <si>
    <t>・　鳥 皮 串 5本　　500円</t>
    <rPh sb="2" eb="3">
      <t>トリ</t>
    </rPh>
    <rPh sb="4" eb="5">
      <t>カワ</t>
    </rPh>
    <rPh sb="6" eb="7">
      <t>クシ</t>
    </rPh>
    <rPh sb="9" eb="10">
      <t>ホン</t>
    </rPh>
    <rPh sb="15" eb="16">
      <t>エン</t>
    </rPh>
    <phoneticPr fontId="8"/>
  </si>
  <si>
    <t>・　炭　（3kg）　　1,000円</t>
    <rPh sb="2" eb="3">
      <t>スミ</t>
    </rPh>
    <rPh sb="16" eb="17">
      <t>エン</t>
    </rPh>
    <phoneticPr fontId="8"/>
  </si>
  <si>
    <t>宿泊費</t>
    <rPh sb="0" eb="3">
      <t>シュクハクヒ</t>
    </rPh>
    <phoneticPr fontId="5"/>
  </si>
  <si>
    <t>食事代</t>
    <rPh sb="0" eb="3">
      <t>ショクジダイ</t>
    </rPh>
    <phoneticPr fontId="5"/>
  </si>
  <si>
    <t>合計金額</t>
    <rPh sb="0" eb="2">
      <t>ゴウケイ</t>
    </rPh>
    <rPh sb="2" eb="4">
      <t>キンガク</t>
    </rPh>
    <phoneticPr fontId="5"/>
  </si>
  <si>
    <r>
      <t xml:space="preserve">　 </t>
    </r>
    <r>
      <rPr>
        <b/>
        <sz val="14"/>
        <color rgb="FFFF0000"/>
        <rFont val="BIZ UDPゴシック"/>
        <family val="3"/>
        <charset val="128"/>
      </rPr>
      <t>野外炊飯を希望するタイミングは空白でお願いします。</t>
    </r>
    <rPh sb="2" eb="6">
      <t>ヤガイスイハン</t>
    </rPh>
    <rPh sb="7" eb="9">
      <t>キボウ</t>
    </rPh>
    <rPh sb="17" eb="19">
      <t>クウハク</t>
    </rPh>
    <rPh sb="21" eb="22">
      <t>ネガ</t>
    </rPh>
    <phoneticPr fontId="8"/>
  </si>
  <si>
    <t>　　</t>
  </si>
  <si>
    <t>✓　教職員　</t>
    <rPh sb="2" eb="5">
      <t>キョウショクイン</t>
    </rPh>
    <phoneticPr fontId="8"/>
  </si>
  <si>
    <t>✓　大人　</t>
    <rPh sb="2" eb="4">
      <t>オトナ</t>
    </rPh>
    <phoneticPr fontId="8"/>
  </si>
  <si>
    <t>箱</t>
    <rPh sb="0" eb="1">
      <t>ハコ</t>
    </rPh>
    <phoneticPr fontId="8"/>
  </si>
  <si>
    <t>学校特別料金</t>
    <rPh sb="0" eb="2">
      <t>ガッコウ</t>
    </rPh>
    <rPh sb="2" eb="6">
      <t>トクベツリョウキン</t>
    </rPh>
    <phoneticPr fontId="4"/>
  </si>
  <si>
    <t>一般料金</t>
    <phoneticPr fontId="4"/>
  </si>
  <si>
    <t>野外炊飯を希望される場合は入力してください。</t>
    <rPh sb="0" eb="4">
      <t>ヤガイスイハン</t>
    </rPh>
    <rPh sb="5" eb="7">
      <t>キボウ</t>
    </rPh>
    <rPh sb="10" eb="12">
      <t>バアイ</t>
    </rPh>
    <rPh sb="13" eb="15">
      <t>ニュウリョク</t>
    </rPh>
    <phoneticPr fontId="8"/>
  </si>
  <si>
    <t>県内</t>
  </si>
  <si>
    <t>学校特別料金</t>
    <phoneticPr fontId="5"/>
  </si>
  <si>
    <t>※料金は目安となりますのでご了承ください。
　 別途、活動費や施設利用料が発生します。</t>
    <rPh sb="1" eb="3">
      <t>リョウキン</t>
    </rPh>
    <rPh sb="4" eb="6">
      <t>メヤス</t>
    </rPh>
    <rPh sb="14" eb="16">
      <t>リョウショウ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</si>
</sst>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&quot;¥&quot;#,##0\-;&quot;¥&quot;\-#,##0"/>
    <numFmt numFmtId="177" formatCode="[$]ge&quot;年&quot;m&quot;月&quot;d&quot;日&quot;\(aaa\)" x16r2:formatCode16="[$-ja-JP-x-gannen]ge&quot;年&quot;m&quot;月&quot;d&quot;日&quot;\(aaa\)"/>
    <numFmt numFmtId="178" formatCode="m&quot;月&quot;d&quot;日&quot;;@"/>
    <numFmt numFmtId="179" formatCode="0_);[Red]\(0\)"/>
    <numFmt numFmtId="180" formatCode="#,##0_ "/>
    <numFmt numFmtId="181" formatCode="#,##0_ &quot;円×&quot;"/>
    <numFmt numFmtId="182" formatCode="#,##0_ &quot;人＝&quot;"/>
    <numFmt numFmtId="183" formatCode="#,##0_ &quot;円&quot;"/>
    <numFmt numFmtId="184" formatCode="#,##0_ &quot;組&quot;&quot;＝&quot;"/>
    <numFmt numFmtId="185" formatCode="#,##0_ &quot;＝&quot;"/>
    <numFmt numFmtId="186" formatCode="#,##0_);[Red]\(#,##0\)"/>
  </numFmts>
  <fonts count="43" x14ac:knownFonts="1"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0"/>
      <color rgb="FF0070C0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4"/>
      <color rgb="FF0000CC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1"/>
      <color theme="1"/>
      <name val="ＭＳ Ｐゴシック"/>
      <family val="2"/>
      <scheme val="minor"/>
    </font>
    <font>
      <sz val="18"/>
      <color rgb="FF000000"/>
      <name val="HGP創英角ﾎﾟｯﾌﾟ体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sz val="18"/>
      <name val="Meiryo UI"/>
      <family val="3"/>
      <charset val="128"/>
    </font>
    <font>
      <sz val="26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u/>
      <sz val="14"/>
      <name val="Meiryo UI"/>
      <family val="3"/>
      <charset val="128"/>
    </font>
    <font>
      <b/>
      <u val="double"/>
      <sz val="14"/>
      <name val="Meiryo UI"/>
      <family val="3"/>
      <charset val="128"/>
    </font>
    <font>
      <b/>
      <sz val="11"/>
      <name val="Meiryo UI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20"/>
      <color rgb="FF0000CC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12"/>
      <color rgb="FF0070C0"/>
      <name val="BIZ UDPゴシック"/>
      <family val="3"/>
      <charset val="128"/>
    </font>
    <font>
      <sz val="12"/>
      <color rgb="FFC00000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DF1F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1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1" tint="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1" tint="0.499984740745262"/>
      </right>
      <top/>
      <bottom/>
      <diagonal/>
    </border>
    <border>
      <left/>
      <right/>
      <top/>
      <bottom style="double">
        <color rgb="FFFF0000"/>
      </bottom>
      <diagonal/>
    </border>
  </borders>
  <cellStyleXfs count="10">
    <xf numFmtId="0" fontId="0" fillId="0" borderId="0"/>
    <xf numFmtId="0" fontId="6" fillId="0" borderId="0"/>
    <xf numFmtId="0" fontId="7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5" fillId="0" borderId="0"/>
    <xf numFmtId="0" fontId="2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72">
    <xf numFmtId="0" fontId="0" fillId="0" borderId="0" xfId="0"/>
    <xf numFmtId="0" fontId="9" fillId="2" borderId="0" xfId="3" applyFont="1" applyFill="1">
      <alignment vertical="center"/>
    </xf>
    <xf numFmtId="0" fontId="9" fillId="3" borderId="0" xfId="3" applyFont="1" applyFill="1">
      <alignment vertical="center"/>
    </xf>
    <xf numFmtId="0" fontId="9" fillId="4" borderId="14" xfId="3" applyFont="1" applyFill="1" applyBorder="1">
      <alignment vertical="center"/>
    </xf>
    <xf numFmtId="0" fontId="9" fillId="4" borderId="15" xfId="3" applyFont="1" applyFill="1" applyBorder="1">
      <alignment vertical="center"/>
    </xf>
    <xf numFmtId="0" fontId="9" fillId="4" borderId="16" xfId="3" applyFont="1" applyFill="1" applyBorder="1">
      <alignment vertical="center"/>
    </xf>
    <xf numFmtId="0" fontId="9" fillId="4" borderId="17" xfId="3" applyFont="1" applyFill="1" applyBorder="1">
      <alignment vertical="center"/>
    </xf>
    <xf numFmtId="0" fontId="9" fillId="4" borderId="0" xfId="3" applyFont="1" applyFill="1">
      <alignment vertical="center"/>
    </xf>
    <xf numFmtId="0" fontId="9" fillId="4" borderId="18" xfId="3" applyFont="1" applyFill="1" applyBorder="1">
      <alignment vertical="center"/>
    </xf>
    <xf numFmtId="0" fontId="9" fillId="4" borderId="20" xfId="3" applyFont="1" applyFill="1" applyBorder="1">
      <alignment vertical="center"/>
    </xf>
    <xf numFmtId="0" fontId="9" fillId="4" borderId="21" xfId="3" applyFont="1" applyFill="1" applyBorder="1">
      <alignment vertical="center"/>
    </xf>
    <xf numFmtId="0" fontId="9" fillId="4" borderId="22" xfId="3" applyFont="1" applyFill="1" applyBorder="1">
      <alignment vertical="center"/>
    </xf>
    <xf numFmtId="0" fontId="9" fillId="4" borderId="23" xfId="3" applyFont="1" applyFill="1" applyBorder="1">
      <alignment vertical="center"/>
    </xf>
    <xf numFmtId="0" fontId="9" fillId="4" borderId="8" xfId="3" applyFont="1" applyFill="1" applyBorder="1">
      <alignment vertical="center"/>
    </xf>
    <xf numFmtId="0" fontId="9" fillId="4" borderId="24" xfId="3" applyFont="1" applyFill="1" applyBorder="1">
      <alignment vertical="center"/>
    </xf>
    <xf numFmtId="0" fontId="11" fillId="4" borderId="0" xfId="3" applyFont="1" applyFill="1">
      <alignment vertical="center"/>
    </xf>
    <xf numFmtId="0" fontId="9" fillId="4" borderId="0" xfId="3" applyFont="1" applyFill="1" applyAlignment="1">
      <alignment horizontal="center" vertical="center"/>
    </xf>
    <xf numFmtId="0" fontId="9" fillId="4" borderId="17" xfId="3" applyFont="1" applyFill="1" applyBorder="1" applyAlignment="1">
      <alignment horizontal="center" vertical="center"/>
    </xf>
    <xf numFmtId="0" fontId="9" fillId="4" borderId="18" xfId="3" applyFont="1" applyFill="1" applyBorder="1" applyAlignment="1">
      <alignment horizontal="center" vertical="center"/>
    </xf>
    <xf numFmtId="0" fontId="9" fillId="4" borderId="0" xfId="3" applyFont="1" applyFill="1" applyAlignment="1">
      <alignment vertical="top"/>
    </xf>
    <xf numFmtId="38" fontId="9" fillId="2" borderId="0" xfId="4" applyFont="1" applyFill="1">
      <alignment vertical="center"/>
    </xf>
    <xf numFmtId="0" fontId="12" fillId="3" borderId="0" xfId="3" applyFont="1" applyFill="1">
      <alignment vertical="center"/>
    </xf>
    <xf numFmtId="0" fontId="14" fillId="3" borderId="0" xfId="3" applyFont="1" applyFill="1">
      <alignment vertical="center"/>
    </xf>
    <xf numFmtId="0" fontId="22" fillId="0" borderId="0" xfId="7" applyFont="1" applyAlignment="1">
      <alignment horizontal="center" vertical="center"/>
    </xf>
    <xf numFmtId="0" fontId="22" fillId="0" borderId="0" xfId="7" applyFont="1">
      <alignment vertical="center"/>
    </xf>
    <xf numFmtId="0" fontId="28" fillId="0" borderId="0" xfId="7" applyFont="1">
      <alignment vertical="center"/>
    </xf>
    <xf numFmtId="0" fontId="22" fillId="0" borderId="0" xfId="7" applyFont="1" applyAlignment="1">
      <alignment horizontal="right" vertical="center"/>
    </xf>
    <xf numFmtId="0" fontId="28" fillId="0" borderId="0" xfId="7" applyFont="1" applyAlignment="1">
      <alignment horizontal="center" vertical="center" wrapText="1"/>
    </xf>
    <xf numFmtId="0" fontId="28" fillId="0" borderId="0" xfId="7" applyFont="1" applyAlignment="1">
      <alignment horizontal="right" vertical="center"/>
    </xf>
    <xf numFmtId="0" fontId="32" fillId="0" borderId="0" xfId="7" applyFont="1" applyAlignment="1">
      <alignment horizontal="left" vertical="center"/>
    </xf>
    <xf numFmtId="0" fontId="32" fillId="0" borderId="0" xfId="7" applyFont="1">
      <alignment vertical="center"/>
    </xf>
    <xf numFmtId="180" fontId="22" fillId="0" borderId="0" xfId="7" applyNumberFormat="1" applyFont="1">
      <alignment vertical="center"/>
    </xf>
    <xf numFmtId="180" fontId="28" fillId="0" borderId="0" xfId="7" applyNumberFormat="1" applyFont="1" applyAlignment="1">
      <alignment horizontal="center" vertical="center"/>
    </xf>
    <xf numFmtId="0" fontId="22" fillId="3" borderId="0" xfId="7" applyFont="1" applyFill="1">
      <alignment vertical="center"/>
    </xf>
    <xf numFmtId="0" fontId="22" fillId="2" borderId="0" xfId="7" applyFont="1" applyFill="1">
      <alignment vertical="center"/>
    </xf>
    <xf numFmtId="0" fontId="9" fillId="4" borderId="107" xfId="3" applyFont="1" applyFill="1" applyBorder="1">
      <alignment vertical="center"/>
    </xf>
    <xf numFmtId="0" fontId="9" fillId="4" borderId="114" xfId="3" applyFont="1" applyFill="1" applyBorder="1">
      <alignment vertical="center"/>
    </xf>
    <xf numFmtId="0" fontId="9" fillId="4" borderId="115" xfId="3" applyFont="1" applyFill="1" applyBorder="1">
      <alignment vertical="center"/>
    </xf>
    <xf numFmtId="0" fontId="9" fillId="4" borderId="116" xfId="3" applyFont="1" applyFill="1" applyBorder="1">
      <alignment vertical="center"/>
    </xf>
    <xf numFmtId="0" fontId="35" fillId="4" borderId="18" xfId="3" applyFont="1" applyFill="1" applyBorder="1" applyAlignment="1">
      <alignment horizontal="right" vertical="center"/>
    </xf>
    <xf numFmtId="183" fontId="36" fillId="4" borderId="0" xfId="3" applyNumberFormat="1" applyFont="1" applyFill="1">
      <alignment vertical="center"/>
    </xf>
    <xf numFmtId="180" fontId="28" fillId="0" borderId="0" xfId="7" applyNumberFormat="1" applyFont="1" applyAlignment="1">
      <alignment horizontal="right" vertical="center"/>
    </xf>
    <xf numFmtId="0" fontId="22" fillId="8" borderId="0" xfId="7" applyFont="1" applyFill="1">
      <alignment vertical="center"/>
    </xf>
    <xf numFmtId="0" fontId="17" fillId="0" borderId="0" xfId="9" applyFont="1" applyAlignment="1">
      <alignment vertical="center" wrapText="1"/>
    </xf>
    <xf numFmtId="0" fontId="21" fillId="0" borderId="0" xfId="9" applyFont="1">
      <alignment vertical="center"/>
    </xf>
    <xf numFmtId="0" fontId="21" fillId="0" borderId="2" xfId="9" applyFont="1" applyBorder="1">
      <alignment vertical="center"/>
    </xf>
    <xf numFmtId="180" fontId="22" fillId="0" borderId="4" xfId="7" applyNumberFormat="1" applyFont="1" applyBorder="1">
      <alignment vertical="center"/>
    </xf>
    <xf numFmtId="0" fontId="18" fillId="0" borderId="4" xfId="9" applyFont="1" applyBorder="1">
      <alignment vertical="center"/>
    </xf>
    <xf numFmtId="0" fontId="17" fillId="0" borderId="4" xfId="9" applyFont="1" applyBorder="1">
      <alignment vertical="center"/>
    </xf>
    <xf numFmtId="0" fontId="17" fillId="0" borderId="3" xfId="9" applyFont="1" applyBorder="1">
      <alignment vertical="center"/>
    </xf>
    <xf numFmtId="180" fontId="22" fillId="0" borderId="0" xfId="7" applyNumberFormat="1" applyFont="1" applyAlignment="1">
      <alignment horizontal="right" vertical="center"/>
    </xf>
    <xf numFmtId="0" fontId="17" fillId="0" borderId="0" xfId="9" applyFont="1">
      <alignment vertical="center"/>
    </xf>
    <xf numFmtId="180" fontId="22" fillId="0" borderId="1" xfId="7" applyNumberFormat="1" applyFont="1" applyBorder="1">
      <alignment vertical="center"/>
    </xf>
    <xf numFmtId="0" fontId="22" fillId="0" borderId="0" xfId="9" applyFont="1">
      <alignment vertical="center"/>
    </xf>
    <xf numFmtId="0" fontId="22" fillId="0" borderId="9" xfId="9" applyFont="1" applyBorder="1">
      <alignment vertical="center"/>
    </xf>
    <xf numFmtId="0" fontId="22" fillId="0" borderId="10" xfId="9" applyFont="1" applyBorder="1">
      <alignment vertical="center"/>
    </xf>
    <xf numFmtId="0" fontId="22" fillId="0" borderId="9" xfId="7" applyFont="1" applyBorder="1">
      <alignment vertical="center"/>
    </xf>
    <xf numFmtId="180" fontId="22" fillId="0" borderId="9" xfId="7" applyNumberFormat="1" applyFont="1" applyBorder="1">
      <alignment vertical="center"/>
    </xf>
    <xf numFmtId="180" fontId="22" fillId="0" borderId="10" xfId="7" applyNumberFormat="1" applyFont="1" applyBorder="1">
      <alignment vertical="center"/>
    </xf>
    <xf numFmtId="0" fontId="22" fillId="9" borderId="12" xfId="9" applyFont="1" applyFill="1" applyBorder="1">
      <alignment vertical="center"/>
    </xf>
    <xf numFmtId="0" fontId="22" fillId="9" borderId="11" xfId="9" applyFont="1" applyFill="1" applyBorder="1">
      <alignment vertical="center"/>
    </xf>
    <xf numFmtId="0" fontId="22" fillId="9" borderId="12" xfId="7" applyFont="1" applyFill="1" applyBorder="1">
      <alignment vertical="center"/>
    </xf>
    <xf numFmtId="180" fontId="22" fillId="9" borderId="12" xfId="7" applyNumberFormat="1" applyFont="1" applyFill="1" applyBorder="1">
      <alignment vertical="center"/>
    </xf>
    <xf numFmtId="180" fontId="22" fillId="9" borderId="11" xfId="7" applyNumberFormat="1" applyFont="1" applyFill="1" applyBorder="1">
      <alignment vertical="center"/>
    </xf>
    <xf numFmtId="0" fontId="22" fillId="0" borderId="0" xfId="9" applyFont="1" applyAlignment="1">
      <alignment vertical="center" shrinkToFit="1"/>
    </xf>
    <xf numFmtId="0" fontId="22" fillId="0" borderId="12" xfId="9" applyFont="1" applyBorder="1">
      <alignment vertical="center"/>
    </xf>
    <xf numFmtId="0" fontId="22" fillId="0" borderId="11" xfId="9" applyFont="1" applyBorder="1">
      <alignment vertical="center"/>
    </xf>
    <xf numFmtId="0" fontId="22" fillId="0" borderId="12" xfId="7" applyFont="1" applyBorder="1">
      <alignment vertical="center"/>
    </xf>
    <xf numFmtId="180" fontId="22" fillId="0" borderId="12" xfId="7" applyNumberFormat="1" applyFont="1" applyBorder="1">
      <alignment vertical="center"/>
    </xf>
    <xf numFmtId="180" fontId="22" fillId="0" borderId="11" xfId="7" applyNumberFormat="1" applyFont="1" applyBorder="1">
      <alignment vertical="center"/>
    </xf>
    <xf numFmtId="0" fontId="22" fillId="9" borderId="117" xfId="9" applyFont="1" applyFill="1" applyBorder="1">
      <alignment vertical="center"/>
    </xf>
    <xf numFmtId="0" fontId="22" fillId="9" borderId="119" xfId="9" applyFont="1" applyFill="1" applyBorder="1">
      <alignment vertical="center"/>
    </xf>
    <xf numFmtId="0" fontId="22" fillId="9" borderId="117" xfId="7" applyFont="1" applyFill="1" applyBorder="1">
      <alignment vertical="center"/>
    </xf>
    <xf numFmtId="180" fontId="22" fillId="9" borderId="117" xfId="7" applyNumberFormat="1" applyFont="1" applyFill="1" applyBorder="1">
      <alignment vertical="center"/>
    </xf>
    <xf numFmtId="180" fontId="22" fillId="9" borderId="119" xfId="7" applyNumberFormat="1" applyFont="1" applyFill="1" applyBorder="1">
      <alignment vertical="center"/>
    </xf>
    <xf numFmtId="0" fontId="22" fillId="0" borderId="123" xfId="9" applyFont="1" applyBorder="1">
      <alignment vertical="center"/>
    </xf>
    <xf numFmtId="0" fontId="22" fillId="0" borderId="125" xfId="9" applyFont="1" applyBorder="1">
      <alignment vertical="center"/>
    </xf>
    <xf numFmtId="0" fontId="22" fillId="0" borderId="123" xfId="7" applyFont="1" applyBorder="1">
      <alignment vertical="center"/>
    </xf>
    <xf numFmtId="180" fontId="22" fillId="0" borderId="123" xfId="7" applyNumberFormat="1" applyFont="1" applyBorder="1">
      <alignment vertical="center"/>
    </xf>
    <xf numFmtId="180" fontId="22" fillId="0" borderId="125" xfId="7" applyNumberFormat="1" applyFont="1" applyBorder="1">
      <alignment vertical="center"/>
    </xf>
    <xf numFmtId="3" fontId="22" fillId="8" borderId="0" xfId="7" applyNumberFormat="1" applyFont="1" applyFill="1">
      <alignment vertical="center"/>
    </xf>
    <xf numFmtId="0" fontId="22" fillId="9" borderId="127" xfId="9" applyFont="1" applyFill="1" applyBorder="1">
      <alignment vertical="center"/>
    </xf>
    <xf numFmtId="0" fontId="22" fillId="9" borderId="129" xfId="9" applyFont="1" applyFill="1" applyBorder="1">
      <alignment vertical="center"/>
    </xf>
    <xf numFmtId="0" fontId="22" fillId="9" borderId="127" xfId="7" applyFont="1" applyFill="1" applyBorder="1">
      <alignment vertical="center"/>
    </xf>
    <xf numFmtId="180" fontId="22" fillId="9" borderId="127" xfId="7" applyNumberFormat="1" applyFont="1" applyFill="1" applyBorder="1">
      <alignment vertical="center"/>
    </xf>
    <xf numFmtId="180" fontId="22" fillId="9" borderId="129" xfId="7" applyNumberFormat="1" applyFont="1" applyFill="1" applyBorder="1">
      <alignment vertical="center"/>
    </xf>
    <xf numFmtId="0" fontId="22" fillId="0" borderId="117" xfId="9" applyFont="1" applyBorder="1">
      <alignment vertical="center"/>
    </xf>
    <xf numFmtId="0" fontId="22" fillId="0" borderId="119" xfId="9" applyFont="1" applyBorder="1">
      <alignment vertical="center"/>
    </xf>
    <xf numFmtId="0" fontId="22" fillId="0" borderId="117" xfId="7" applyFont="1" applyBorder="1">
      <alignment vertical="center"/>
    </xf>
    <xf numFmtId="180" fontId="22" fillId="0" borderId="117" xfId="7" applyNumberFormat="1" applyFont="1" applyBorder="1">
      <alignment vertical="center"/>
    </xf>
    <xf numFmtId="180" fontId="22" fillId="0" borderId="119" xfId="7" applyNumberFormat="1" applyFont="1" applyBorder="1">
      <alignment vertical="center"/>
    </xf>
    <xf numFmtId="0" fontId="22" fillId="9" borderId="11" xfId="7" applyFont="1" applyFill="1" applyBorder="1">
      <alignment vertical="center"/>
    </xf>
    <xf numFmtId="0" fontId="22" fillId="0" borderId="11" xfId="7" applyFont="1" applyBorder="1">
      <alignment vertical="center"/>
    </xf>
    <xf numFmtId="0" fontId="22" fillId="9" borderId="119" xfId="7" applyFont="1" applyFill="1" applyBorder="1">
      <alignment vertical="center"/>
    </xf>
    <xf numFmtId="0" fontId="22" fillId="0" borderId="119" xfId="7" applyFont="1" applyBorder="1">
      <alignment vertical="center"/>
    </xf>
    <xf numFmtId="0" fontId="22" fillId="0" borderId="125" xfId="7" applyFont="1" applyBorder="1">
      <alignment vertical="center"/>
    </xf>
    <xf numFmtId="0" fontId="22" fillId="9" borderId="129" xfId="7" applyFont="1" applyFill="1" applyBorder="1">
      <alignment vertical="center"/>
    </xf>
    <xf numFmtId="180" fontId="22" fillId="0" borderId="0" xfId="7" applyNumberFormat="1" applyFont="1" applyAlignment="1">
      <alignment vertical="center" shrinkToFit="1"/>
    </xf>
    <xf numFmtId="0" fontId="22" fillId="9" borderId="123" xfId="9" applyFont="1" applyFill="1" applyBorder="1">
      <alignment vertical="center"/>
    </xf>
    <xf numFmtId="0" fontId="22" fillId="9" borderId="125" xfId="9" applyFont="1" applyFill="1" applyBorder="1">
      <alignment vertical="center"/>
    </xf>
    <xf numFmtId="0" fontId="22" fillId="9" borderId="123" xfId="7" applyFont="1" applyFill="1" applyBorder="1">
      <alignment vertical="center"/>
    </xf>
    <xf numFmtId="0" fontId="22" fillId="9" borderId="125" xfId="7" applyFont="1" applyFill="1" applyBorder="1">
      <alignment vertical="center"/>
    </xf>
    <xf numFmtId="3" fontId="22" fillId="0" borderId="0" xfId="7" applyNumberFormat="1" applyFont="1">
      <alignment vertical="center"/>
    </xf>
    <xf numFmtId="183" fontId="22" fillId="0" borderId="0" xfId="7" applyNumberFormat="1" applyFont="1">
      <alignment vertical="center"/>
    </xf>
    <xf numFmtId="180" fontId="22" fillId="5" borderId="5" xfId="7" applyNumberFormat="1" applyFont="1" applyFill="1" applyBorder="1" applyAlignment="1">
      <alignment vertical="center" shrinkToFit="1"/>
    </xf>
    <xf numFmtId="0" fontId="22" fillId="0" borderId="5" xfId="7" applyFont="1" applyBorder="1">
      <alignment vertical="center"/>
    </xf>
    <xf numFmtId="0" fontId="22" fillId="5" borderId="5" xfId="9" applyFont="1" applyFill="1" applyBorder="1" applyAlignment="1">
      <alignment vertical="center" shrinkToFit="1"/>
    </xf>
    <xf numFmtId="0" fontId="22" fillId="0" borderId="5" xfId="9" applyFont="1" applyBorder="1">
      <alignment vertical="center"/>
    </xf>
    <xf numFmtId="180" fontId="22" fillId="5" borderId="0" xfId="7" applyNumberFormat="1" applyFont="1" applyFill="1" applyAlignment="1">
      <alignment vertical="center" shrinkToFit="1"/>
    </xf>
    <xf numFmtId="0" fontId="22" fillId="5" borderId="0" xfId="9" applyFont="1" applyFill="1" applyAlignment="1">
      <alignment vertical="center" shrinkToFit="1"/>
    </xf>
    <xf numFmtId="0" fontId="22" fillId="0" borderId="0" xfId="9" applyFont="1" applyAlignment="1">
      <alignment horizontal="left" vertical="center"/>
    </xf>
    <xf numFmtId="0" fontId="22" fillId="0" borderId="6" xfId="9" applyFont="1" applyBorder="1">
      <alignment vertical="center"/>
    </xf>
    <xf numFmtId="0" fontId="22" fillId="0" borderId="7" xfId="9" applyFont="1" applyBorder="1">
      <alignment vertical="center"/>
    </xf>
    <xf numFmtId="0" fontId="22" fillId="0" borderId="6" xfId="7" applyFont="1" applyBorder="1">
      <alignment vertical="center"/>
    </xf>
    <xf numFmtId="0" fontId="22" fillId="0" borderId="7" xfId="7" applyFont="1" applyBorder="1">
      <alignment vertical="center"/>
    </xf>
    <xf numFmtId="180" fontId="22" fillId="5" borderId="8" xfId="7" applyNumberFormat="1" applyFont="1" applyFill="1" applyBorder="1" applyAlignment="1">
      <alignment vertical="center" shrinkToFit="1"/>
    </xf>
    <xf numFmtId="0" fontId="22" fillId="0" borderId="8" xfId="7" applyFont="1" applyBorder="1">
      <alignment vertical="center"/>
    </xf>
    <xf numFmtId="0" fontId="22" fillId="5" borderId="8" xfId="9" applyFont="1" applyFill="1" applyBorder="1" applyAlignment="1">
      <alignment vertical="center" shrinkToFit="1"/>
    </xf>
    <xf numFmtId="0" fontId="22" fillId="0" borderId="8" xfId="9" applyFont="1" applyBorder="1">
      <alignment vertical="center"/>
    </xf>
    <xf numFmtId="38" fontId="22" fillId="0" borderId="0" xfId="7" applyNumberFormat="1" applyFont="1">
      <alignment vertical="center"/>
    </xf>
    <xf numFmtId="178" fontId="21" fillId="0" borderId="0" xfId="9" applyNumberFormat="1" applyFont="1">
      <alignment vertical="center"/>
    </xf>
    <xf numFmtId="186" fontId="21" fillId="0" borderId="0" xfId="9" applyNumberFormat="1" applyFont="1">
      <alignment vertical="center"/>
    </xf>
    <xf numFmtId="0" fontId="22" fillId="0" borderId="4" xfId="9" applyFont="1" applyBorder="1" applyAlignment="1">
      <alignment horizontal="center" vertical="center"/>
    </xf>
    <xf numFmtId="0" fontId="22" fillId="4" borderId="0" xfId="7" applyFont="1" applyFill="1" applyAlignment="1">
      <alignment horizontal="center" vertical="center"/>
    </xf>
    <xf numFmtId="0" fontId="9" fillId="4" borderId="134" xfId="3" applyFont="1" applyFill="1" applyBorder="1" applyAlignment="1">
      <alignment horizontal="center" vertical="center"/>
    </xf>
    <xf numFmtId="0" fontId="9" fillId="4" borderId="135" xfId="3" applyFont="1" applyFill="1" applyBorder="1">
      <alignment vertical="center"/>
    </xf>
    <xf numFmtId="0" fontId="10" fillId="2" borderId="0" xfId="3" applyFont="1" applyFill="1">
      <alignment vertical="center"/>
    </xf>
    <xf numFmtId="0" fontId="9" fillId="3" borderId="19" xfId="3" applyFont="1" applyFill="1" applyBorder="1" applyProtection="1">
      <alignment vertical="center"/>
      <protection locked="0"/>
    </xf>
    <xf numFmtId="179" fontId="28" fillId="5" borderId="55" xfId="7" applyNumberFormat="1" applyFont="1" applyFill="1" applyBorder="1" applyAlignment="1" applyProtection="1">
      <alignment vertical="center" shrinkToFit="1"/>
      <protection locked="0"/>
    </xf>
    <xf numFmtId="179" fontId="28" fillId="5" borderId="74" xfId="7" applyNumberFormat="1" applyFont="1" applyFill="1" applyBorder="1" applyAlignment="1" applyProtection="1">
      <alignment vertical="center" shrinkToFit="1"/>
      <protection locked="0"/>
    </xf>
    <xf numFmtId="179" fontId="28" fillId="5" borderId="2" xfId="7" applyNumberFormat="1" applyFont="1" applyFill="1" applyBorder="1" applyAlignment="1" applyProtection="1">
      <alignment vertical="center" shrinkToFit="1"/>
      <protection locked="0"/>
    </xf>
    <xf numFmtId="179" fontId="28" fillId="5" borderId="75" xfId="7" applyNumberFormat="1" applyFont="1" applyFill="1" applyBorder="1" applyAlignment="1" applyProtection="1">
      <alignment vertical="center" shrinkToFit="1"/>
      <protection locked="0"/>
    </xf>
    <xf numFmtId="179" fontId="28" fillId="6" borderId="55" xfId="7" applyNumberFormat="1" applyFont="1" applyFill="1" applyBorder="1" applyAlignment="1" applyProtection="1">
      <alignment vertical="center" shrinkToFit="1"/>
      <protection locked="0"/>
    </xf>
    <xf numFmtId="179" fontId="28" fillId="6" borderId="76" xfId="7" applyNumberFormat="1" applyFont="1" applyFill="1" applyBorder="1" applyAlignment="1" applyProtection="1">
      <alignment vertical="center" shrinkToFit="1"/>
      <protection locked="0"/>
    </xf>
    <xf numFmtId="179" fontId="28" fillId="5" borderId="4" xfId="7" applyNumberFormat="1" applyFont="1" applyFill="1" applyBorder="1" applyAlignment="1" applyProtection="1">
      <alignment vertical="center" shrinkToFit="1"/>
      <protection locked="0"/>
    </xf>
    <xf numFmtId="179" fontId="28" fillId="5" borderId="36" xfId="7" applyNumberFormat="1" applyFont="1" applyFill="1" applyBorder="1" applyAlignment="1" applyProtection="1">
      <alignment vertical="center" shrinkToFit="1"/>
      <protection locked="0"/>
    </xf>
    <xf numFmtId="179" fontId="28" fillId="5" borderId="77" xfId="7" applyNumberFormat="1" applyFont="1" applyFill="1" applyBorder="1" applyAlignment="1" applyProtection="1">
      <alignment vertical="center" shrinkToFit="1"/>
      <protection locked="0"/>
    </xf>
    <xf numFmtId="179" fontId="28" fillId="5" borderId="9" xfId="7" applyNumberFormat="1" applyFont="1" applyFill="1" applyBorder="1" applyAlignment="1" applyProtection="1">
      <alignment vertical="center" shrinkToFit="1"/>
      <protection locked="0"/>
    </xf>
    <xf numFmtId="179" fontId="28" fillId="5" borderId="78" xfId="7" applyNumberFormat="1" applyFont="1" applyFill="1" applyBorder="1" applyAlignment="1" applyProtection="1">
      <alignment vertical="center" shrinkToFit="1"/>
      <protection locked="0"/>
    </xf>
    <xf numFmtId="179" fontId="28" fillId="5" borderId="5" xfId="7" applyNumberFormat="1" applyFont="1" applyFill="1" applyBorder="1" applyAlignment="1" applyProtection="1">
      <alignment vertical="center" shrinkToFit="1"/>
      <protection locked="0"/>
    </xf>
    <xf numFmtId="179" fontId="28" fillId="5" borderId="57" xfId="7" applyNumberFormat="1" applyFont="1" applyFill="1" applyBorder="1" applyAlignment="1" applyProtection="1">
      <alignment vertical="center" shrinkToFit="1"/>
      <protection locked="0"/>
    </xf>
    <xf numFmtId="179" fontId="28" fillId="5" borderId="79" xfId="7" applyNumberFormat="1" applyFont="1" applyFill="1" applyBorder="1" applyAlignment="1" applyProtection="1">
      <alignment vertical="center" shrinkToFit="1"/>
      <protection locked="0"/>
    </xf>
    <xf numFmtId="179" fontId="28" fillId="5" borderId="67" xfId="7" applyNumberFormat="1" applyFont="1" applyFill="1" applyBorder="1" applyAlignment="1" applyProtection="1">
      <alignment vertical="center" shrinkToFit="1"/>
      <protection locked="0"/>
    </xf>
    <xf numFmtId="179" fontId="28" fillId="5" borderId="80" xfId="7" applyNumberFormat="1" applyFont="1" applyFill="1" applyBorder="1" applyAlignment="1" applyProtection="1">
      <alignment vertical="center" shrinkToFit="1"/>
      <protection locked="0"/>
    </xf>
    <xf numFmtId="179" fontId="28" fillId="6" borderId="81" xfId="7" applyNumberFormat="1" applyFont="1" applyFill="1" applyBorder="1" applyAlignment="1" applyProtection="1">
      <alignment vertical="center" shrinkToFit="1"/>
      <protection locked="0"/>
    </xf>
    <xf numFmtId="179" fontId="28" fillId="5" borderId="58" xfId="7" applyNumberFormat="1" applyFont="1" applyFill="1" applyBorder="1" applyAlignment="1" applyProtection="1">
      <alignment vertical="center" shrinkToFit="1"/>
      <protection locked="0"/>
    </xf>
    <xf numFmtId="179" fontId="28" fillId="0" borderId="65" xfId="7" applyNumberFormat="1" applyFont="1" applyBorder="1" applyAlignment="1" applyProtection="1">
      <alignment vertical="center" shrinkToFit="1"/>
      <protection locked="0"/>
    </xf>
    <xf numFmtId="179" fontId="28" fillId="7" borderId="33" xfId="7" applyNumberFormat="1" applyFont="1" applyFill="1" applyBorder="1" applyAlignment="1" applyProtection="1">
      <alignment vertical="center" shrinkToFit="1"/>
      <protection locked="0"/>
    </xf>
    <xf numFmtId="179" fontId="28" fillId="0" borderId="33" xfId="7" applyNumberFormat="1" applyFont="1" applyBorder="1" applyAlignment="1" applyProtection="1">
      <alignment vertical="center" shrinkToFit="1"/>
      <protection locked="0"/>
    </xf>
    <xf numFmtId="179" fontId="28" fillId="7" borderId="69" xfId="7" applyNumberFormat="1" applyFont="1" applyFill="1" applyBorder="1" applyAlignment="1" applyProtection="1">
      <alignment vertical="center" shrinkToFit="1"/>
      <protection locked="0"/>
    </xf>
    <xf numFmtId="179" fontId="28" fillId="6" borderId="65" xfId="7" applyNumberFormat="1" applyFont="1" applyFill="1" applyBorder="1" applyAlignment="1" applyProtection="1">
      <alignment vertical="center" shrinkToFit="1"/>
      <protection locked="0"/>
    </xf>
    <xf numFmtId="179" fontId="28" fillId="7" borderId="54" xfId="7" applyNumberFormat="1" applyFont="1" applyFill="1" applyBorder="1" applyAlignment="1" applyProtection="1">
      <alignment vertical="center" shrinkToFit="1"/>
      <protection locked="0"/>
    </xf>
    <xf numFmtId="179" fontId="28" fillId="7" borderId="30" xfId="7" applyNumberFormat="1" applyFont="1" applyFill="1" applyBorder="1" applyAlignment="1" applyProtection="1">
      <alignment vertical="center" shrinkToFit="1"/>
      <protection locked="0"/>
    </xf>
    <xf numFmtId="179" fontId="28" fillId="0" borderId="1" xfId="7" applyNumberFormat="1" applyFont="1" applyBorder="1" applyAlignment="1" applyProtection="1">
      <alignment vertical="center" shrinkToFit="1"/>
      <protection locked="0"/>
    </xf>
    <xf numFmtId="179" fontId="28" fillId="7" borderId="1" xfId="7" applyNumberFormat="1" applyFont="1" applyFill="1" applyBorder="1" applyAlignment="1" applyProtection="1">
      <alignment vertical="center" shrinkToFit="1"/>
      <protection locked="0"/>
    </xf>
    <xf numFmtId="179" fontId="28" fillId="0" borderId="2" xfId="7" applyNumberFormat="1" applyFont="1" applyBorder="1" applyAlignment="1" applyProtection="1">
      <alignment vertical="center" shrinkToFit="1"/>
      <protection locked="0"/>
    </xf>
    <xf numFmtId="179" fontId="28" fillId="6" borderId="56" xfId="7" applyNumberFormat="1" applyFont="1" applyFill="1" applyBorder="1" applyAlignment="1" applyProtection="1">
      <alignment vertical="center" shrinkToFit="1"/>
      <protection locked="0"/>
    </xf>
    <xf numFmtId="180" fontId="28" fillId="0" borderId="90" xfId="7" applyNumberFormat="1" applyFont="1" applyBorder="1" applyAlignment="1" applyProtection="1">
      <alignment horizontal="center" vertical="center"/>
      <protection locked="0"/>
    </xf>
    <xf numFmtId="179" fontId="21" fillId="5" borderId="92" xfId="7" applyNumberFormat="1" applyFont="1" applyFill="1" applyBorder="1" applyAlignment="1" applyProtection="1">
      <alignment vertical="center" shrinkToFit="1"/>
      <protection locked="0"/>
    </xf>
    <xf numFmtId="182" fontId="21" fillId="0" borderId="92" xfId="7" applyNumberFormat="1" applyFont="1" applyBorder="1" applyAlignment="1" applyProtection="1">
      <alignment vertical="center" shrinkToFit="1"/>
      <protection locked="0"/>
    </xf>
    <xf numFmtId="180" fontId="28" fillId="0" borderId="96" xfId="7" applyNumberFormat="1" applyFont="1" applyBorder="1" applyAlignment="1" applyProtection="1">
      <alignment horizontal="center" vertical="center"/>
      <protection locked="0"/>
    </xf>
    <xf numFmtId="179" fontId="21" fillId="5" borderId="96" xfId="7" applyNumberFormat="1" applyFont="1" applyFill="1" applyBorder="1" applyAlignment="1" applyProtection="1">
      <alignment vertical="center" shrinkToFit="1"/>
      <protection locked="0"/>
    </xf>
    <xf numFmtId="182" fontId="21" fillId="0" borderId="96" xfId="7" applyNumberFormat="1" applyFont="1" applyBorder="1" applyAlignment="1" applyProtection="1">
      <alignment vertical="center" shrinkToFit="1"/>
      <protection locked="0"/>
    </xf>
    <xf numFmtId="180" fontId="28" fillId="0" borderId="100" xfId="7" applyNumberFormat="1" applyFont="1" applyBorder="1" applyAlignment="1" applyProtection="1">
      <alignment horizontal="center" vertical="center"/>
      <protection locked="0"/>
    </xf>
    <xf numFmtId="179" fontId="21" fillId="5" borderId="102" xfId="7" applyNumberFormat="1" applyFont="1" applyFill="1" applyBorder="1" applyAlignment="1" applyProtection="1">
      <alignment vertical="center" shrinkToFit="1"/>
      <protection locked="0"/>
    </xf>
    <xf numFmtId="182" fontId="21" fillId="0" borderId="102" xfId="7" applyNumberFormat="1" applyFont="1" applyBorder="1" applyAlignment="1" applyProtection="1">
      <alignment vertical="center" shrinkToFit="1"/>
      <protection locked="0"/>
    </xf>
    <xf numFmtId="180" fontId="28" fillId="0" borderId="59" xfId="7" applyNumberFormat="1" applyFont="1" applyBorder="1" applyAlignment="1" applyProtection="1">
      <alignment horizontal="center" vertical="center"/>
      <protection locked="0"/>
    </xf>
    <xf numFmtId="179" fontId="21" fillId="5" borderId="5" xfId="7" applyNumberFormat="1" applyFont="1" applyFill="1" applyBorder="1" applyAlignment="1" applyProtection="1">
      <alignment vertical="center" shrinkToFit="1"/>
      <protection locked="0"/>
    </xf>
    <xf numFmtId="184" fontId="21" fillId="0" borderId="5" xfId="7" applyNumberFormat="1" applyFont="1" applyBorder="1" applyAlignment="1" applyProtection="1">
      <alignment vertical="center" shrinkToFit="1"/>
      <protection locked="0"/>
    </xf>
    <xf numFmtId="0" fontId="9" fillId="4" borderId="136" xfId="3" applyFont="1" applyFill="1" applyBorder="1">
      <alignment vertical="center"/>
    </xf>
    <xf numFmtId="0" fontId="19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23" fillId="0" borderId="0" xfId="7" applyFont="1">
      <alignment vertical="center"/>
    </xf>
    <xf numFmtId="177" fontId="22" fillId="0" borderId="0" xfId="7" applyNumberFormat="1" applyFont="1">
      <alignment vertical="center"/>
    </xf>
    <xf numFmtId="0" fontId="17" fillId="0" borderId="0" xfId="7" applyFont="1" applyAlignment="1">
      <alignment horizontal="center" vertical="center"/>
    </xf>
    <xf numFmtId="0" fontId="27" fillId="0" borderId="32" xfId="7" applyFont="1" applyBorder="1">
      <alignment vertical="center"/>
    </xf>
    <xf numFmtId="0" fontId="28" fillId="0" borderId="32" xfId="7" applyFont="1" applyBorder="1">
      <alignment vertical="center"/>
    </xf>
    <xf numFmtId="0" fontId="24" fillId="0" borderId="0" xfId="7" applyFont="1" applyAlignment="1">
      <alignment horizontal="center" vertical="center"/>
    </xf>
    <xf numFmtId="0" fontId="21" fillId="0" borderId="0" xfId="7" applyFont="1">
      <alignment vertical="center"/>
    </xf>
    <xf numFmtId="0" fontId="18" fillId="0" borderId="0" xfId="7" applyFont="1">
      <alignment vertical="center"/>
    </xf>
    <xf numFmtId="0" fontId="28" fillId="0" borderId="0" xfId="7" applyFont="1" applyAlignment="1"/>
    <xf numFmtId="0" fontId="24" fillId="0" borderId="0" xfId="7" applyFont="1" applyAlignment="1"/>
    <xf numFmtId="0" fontId="31" fillId="0" borderId="0" xfId="7" applyFont="1">
      <alignment vertical="center"/>
    </xf>
    <xf numFmtId="0" fontId="23" fillId="0" borderId="38" xfId="7" applyFont="1" applyBorder="1" applyAlignment="1">
      <alignment horizontal="center" vertical="center" wrapText="1"/>
    </xf>
    <xf numFmtId="0" fontId="23" fillId="0" borderId="70" xfId="7" applyFont="1" applyBorder="1" applyAlignment="1">
      <alignment horizontal="center" vertical="center" wrapText="1"/>
    </xf>
    <xf numFmtId="0" fontId="23" fillId="0" borderId="6" xfId="7" applyFont="1" applyBorder="1" applyAlignment="1">
      <alignment horizontal="center" vertical="center" wrapText="1"/>
    </xf>
    <xf numFmtId="0" fontId="23" fillId="0" borderId="71" xfId="7" applyFont="1" applyBorder="1" applyAlignment="1">
      <alignment horizontal="center" vertical="center" wrapText="1"/>
    </xf>
    <xf numFmtId="0" fontId="23" fillId="6" borderId="38" xfId="7" applyFont="1" applyFill="1" applyBorder="1" applyAlignment="1">
      <alignment horizontal="center" vertical="center"/>
    </xf>
    <xf numFmtId="0" fontId="23" fillId="6" borderId="72" xfId="7" applyFont="1" applyFill="1" applyBorder="1" applyAlignment="1">
      <alignment horizontal="center" vertical="center" wrapText="1"/>
    </xf>
    <xf numFmtId="0" fontId="23" fillId="0" borderId="8" xfId="7" applyFont="1" applyBorder="1" applyAlignment="1">
      <alignment horizontal="center" vertical="center" wrapText="1"/>
    </xf>
    <xf numFmtId="0" fontId="23" fillId="6" borderId="51" xfId="7" applyFont="1" applyFill="1" applyBorder="1" applyAlignment="1">
      <alignment horizontal="center" vertical="center"/>
    </xf>
    <xf numFmtId="0" fontId="23" fillId="6" borderId="73" xfId="7" applyFont="1" applyFill="1" applyBorder="1" applyAlignment="1">
      <alignment horizontal="center" vertical="center" wrapText="1"/>
    </xf>
    <xf numFmtId="0" fontId="28" fillId="0" borderId="82" xfId="7" applyFont="1" applyBorder="1">
      <alignment vertical="center"/>
    </xf>
    <xf numFmtId="0" fontId="28" fillId="0" borderId="62" xfId="7" applyFont="1" applyBorder="1">
      <alignment vertical="center"/>
    </xf>
    <xf numFmtId="180" fontId="18" fillId="0" borderId="0" xfId="7" applyNumberFormat="1" applyFont="1">
      <alignment vertical="center"/>
    </xf>
    <xf numFmtId="180" fontId="28" fillId="0" borderId="93" xfId="7" applyNumberFormat="1" applyFont="1" applyBorder="1" applyAlignment="1">
      <alignment horizontal="center" vertical="center"/>
    </xf>
    <xf numFmtId="180" fontId="28" fillId="0" borderId="97" xfId="7" applyNumberFormat="1" applyFont="1" applyBorder="1" applyAlignment="1">
      <alignment horizontal="center" vertical="center"/>
    </xf>
    <xf numFmtId="180" fontId="28" fillId="0" borderId="103" xfId="7" applyNumberFormat="1" applyFont="1" applyBorder="1" applyAlignment="1">
      <alignment horizontal="center" vertical="center"/>
    </xf>
    <xf numFmtId="180" fontId="28" fillId="0" borderId="10" xfId="7" applyNumberFormat="1" applyFont="1" applyBorder="1" applyAlignment="1">
      <alignment horizontal="center" vertical="center"/>
    </xf>
    <xf numFmtId="180" fontId="22" fillId="0" borderId="62" xfId="7" applyNumberFormat="1" applyFont="1" applyBorder="1" applyAlignment="1">
      <alignment horizontal="center" vertical="center"/>
    </xf>
    <xf numFmtId="181" fontId="22" fillId="0" borderId="62" xfId="7" applyNumberFormat="1" applyFont="1" applyBorder="1" applyAlignment="1">
      <alignment horizontal="right" vertical="center" shrinkToFit="1"/>
    </xf>
    <xf numFmtId="181" fontId="22" fillId="0" borderId="0" xfId="7" applyNumberFormat="1" applyFont="1" applyAlignment="1">
      <alignment horizontal="right" vertical="center" shrinkToFit="1"/>
    </xf>
    <xf numFmtId="184" fontId="21" fillId="0" borderId="0" xfId="7" applyNumberFormat="1" applyFont="1" applyAlignment="1">
      <alignment horizontal="right" vertical="center" shrinkToFit="1"/>
    </xf>
    <xf numFmtId="180" fontId="21" fillId="0" borderId="0" xfId="7" applyNumberFormat="1" applyFont="1" applyAlignment="1">
      <alignment vertical="center" shrinkToFit="1"/>
    </xf>
    <xf numFmtId="183" fontId="17" fillId="0" borderId="0" xfId="7" applyNumberFormat="1" applyFont="1" applyAlignment="1">
      <alignment vertical="center" shrinkToFit="1"/>
    </xf>
    <xf numFmtId="180" fontId="28" fillId="0" borderId="106" xfId="7" applyNumberFormat="1" applyFont="1" applyBorder="1" applyAlignment="1">
      <alignment horizontal="center" vertical="center"/>
    </xf>
    <xf numFmtId="0" fontId="40" fillId="3" borderId="0" xfId="3" applyFont="1" applyFill="1">
      <alignment vertical="center"/>
    </xf>
    <xf numFmtId="0" fontId="39" fillId="3" borderId="0" xfId="3" applyFont="1" applyFill="1" applyAlignment="1">
      <alignment horizontal="right" vertical="center"/>
    </xf>
    <xf numFmtId="0" fontId="12" fillId="4" borderId="136" xfId="3" applyFont="1" applyFill="1" applyBorder="1">
      <alignment vertical="center"/>
    </xf>
    <xf numFmtId="0" fontId="9" fillId="5" borderId="19" xfId="3" applyFont="1" applyFill="1" applyBorder="1" applyProtection="1">
      <alignment vertical="center"/>
      <protection locked="0"/>
    </xf>
    <xf numFmtId="0" fontId="9" fillId="5" borderId="19" xfId="3" applyFont="1" applyFill="1" applyBorder="1" applyAlignment="1" applyProtection="1">
      <alignment horizontal="center" vertical="center"/>
      <protection locked="0"/>
    </xf>
    <xf numFmtId="0" fontId="41" fillId="4" borderId="21" xfId="3" applyFont="1" applyFill="1" applyBorder="1">
      <alignment vertical="center"/>
    </xf>
    <xf numFmtId="0" fontId="42" fillId="4" borderId="21" xfId="3" applyFont="1" applyFill="1" applyBorder="1">
      <alignment vertical="center"/>
    </xf>
    <xf numFmtId="178" fontId="9" fillId="4" borderId="0" xfId="3" applyNumberFormat="1" applyFont="1" applyFill="1" applyAlignment="1">
      <alignment horizontal="center" vertical="center"/>
    </xf>
    <xf numFmtId="176" fontId="37" fillId="3" borderId="0" xfId="4" applyNumberFormat="1" applyFont="1" applyFill="1" applyAlignment="1">
      <alignment horizontal="center" vertical="center"/>
    </xf>
    <xf numFmtId="176" fontId="13" fillId="3" borderId="0" xfId="4" applyNumberFormat="1" applyFont="1" applyFill="1" applyAlignment="1">
      <alignment horizontal="center" vertical="center"/>
    </xf>
    <xf numFmtId="0" fontId="22" fillId="4" borderId="110" xfId="7" applyFont="1" applyFill="1" applyBorder="1" applyAlignment="1">
      <alignment horizontal="center" vertical="center"/>
    </xf>
    <xf numFmtId="0" fontId="22" fillId="4" borderId="113" xfId="7" applyFont="1" applyFill="1" applyBorder="1" applyAlignment="1">
      <alignment horizontal="center" vertical="center"/>
    </xf>
    <xf numFmtId="0" fontId="25" fillId="5" borderId="49" xfId="7" applyFont="1" applyFill="1" applyBorder="1" applyAlignment="1" applyProtection="1">
      <alignment horizontal="center" vertical="center"/>
      <protection locked="0"/>
    </xf>
    <xf numFmtId="0" fontId="25" fillId="5" borderId="50" xfId="7" applyFont="1" applyFill="1" applyBorder="1" applyAlignment="1" applyProtection="1">
      <alignment horizontal="center" vertical="center"/>
      <protection locked="0"/>
    </xf>
    <xf numFmtId="0" fontId="26" fillId="5" borderId="49" xfId="7" applyFont="1" applyFill="1" applyBorder="1" applyAlignment="1" applyProtection="1">
      <alignment horizontal="center" vertical="center"/>
      <protection locked="0"/>
    </xf>
    <xf numFmtId="0" fontId="26" fillId="5" borderId="50" xfId="7" applyFont="1" applyFill="1" applyBorder="1" applyAlignment="1" applyProtection="1">
      <alignment horizontal="center" vertical="center"/>
      <protection locked="0"/>
    </xf>
    <xf numFmtId="177" fontId="24" fillId="5" borderId="108" xfId="7" applyNumberFormat="1" applyFont="1" applyFill="1" applyBorder="1" applyAlignment="1" applyProtection="1">
      <alignment horizontal="center" vertical="center" shrinkToFit="1"/>
      <protection locked="0"/>
    </xf>
    <xf numFmtId="177" fontId="24" fillId="5" borderId="109" xfId="7" applyNumberFormat="1" applyFont="1" applyFill="1" applyBorder="1" applyAlignment="1" applyProtection="1">
      <alignment horizontal="center" vertical="center" shrinkToFit="1"/>
      <protection locked="0"/>
    </xf>
    <xf numFmtId="177" fontId="24" fillId="5" borderId="111" xfId="7" applyNumberFormat="1" applyFont="1" applyFill="1" applyBorder="1" applyAlignment="1" applyProtection="1">
      <alignment horizontal="center" vertical="center" shrinkToFit="1"/>
      <protection locked="0"/>
    </xf>
    <xf numFmtId="177" fontId="24" fillId="5" borderId="112" xfId="7" applyNumberFormat="1" applyFont="1" applyFill="1" applyBorder="1" applyAlignment="1" applyProtection="1">
      <alignment horizontal="center" vertical="center" shrinkToFit="1"/>
      <protection locked="0"/>
    </xf>
    <xf numFmtId="177" fontId="24" fillId="4" borderId="109" xfId="7" applyNumberFormat="1" applyFont="1" applyFill="1" applyBorder="1" applyAlignment="1">
      <alignment horizontal="center" vertical="center" shrinkToFit="1"/>
    </xf>
    <xf numFmtId="177" fontId="24" fillId="4" borderId="112" xfId="7" applyNumberFormat="1" applyFont="1" applyFill="1" applyBorder="1" applyAlignment="1">
      <alignment horizontal="center" vertical="center" shrinkToFit="1"/>
    </xf>
    <xf numFmtId="177" fontId="24" fillId="5" borderId="109" xfId="7" applyNumberFormat="1" applyFont="1" applyFill="1" applyBorder="1" applyAlignment="1" applyProtection="1">
      <alignment horizontal="center" vertical="center"/>
      <protection locked="0"/>
    </xf>
    <xf numFmtId="177" fontId="24" fillId="5" borderId="112" xfId="7" applyNumberFormat="1" applyFont="1" applyFill="1" applyBorder="1" applyAlignment="1" applyProtection="1">
      <alignment horizontal="center" vertical="center"/>
      <protection locked="0"/>
    </xf>
    <xf numFmtId="0" fontId="24" fillId="4" borderId="109" xfId="7" applyFont="1" applyFill="1" applyBorder="1" applyAlignment="1">
      <alignment horizontal="center" vertical="center"/>
    </xf>
    <xf numFmtId="0" fontId="24" fillId="4" borderId="112" xfId="7" applyFont="1" applyFill="1" applyBorder="1" applyAlignment="1">
      <alignment horizontal="center" vertical="center"/>
    </xf>
    <xf numFmtId="0" fontId="22" fillId="4" borderId="109" xfId="7" applyFont="1" applyFill="1" applyBorder="1" applyAlignment="1">
      <alignment horizontal="center" vertical="center"/>
    </xf>
    <xf numFmtId="0" fontId="22" fillId="4" borderId="112" xfId="7" applyFont="1" applyFill="1" applyBorder="1" applyAlignment="1">
      <alignment horizontal="center" vertical="center"/>
    </xf>
    <xf numFmtId="178" fontId="9" fillId="4" borderId="17" xfId="3" applyNumberFormat="1" applyFont="1" applyFill="1" applyBorder="1" applyAlignment="1">
      <alignment horizontal="center" vertical="center"/>
    </xf>
    <xf numFmtId="14" fontId="35" fillId="4" borderId="112" xfId="3" applyNumberFormat="1" applyFont="1" applyFill="1" applyBorder="1" applyAlignment="1">
      <alignment horizontal="center" vertical="center"/>
    </xf>
    <xf numFmtId="178" fontId="9" fillId="4" borderId="18" xfId="3" applyNumberFormat="1" applyFont="1" applyFill="1" applyBorder="1" applyAlignment="1">
      <alignment horizontal="center" vertical="center"/>
    </xf>
    <xf numFmtId="0" fontId="22" fillId="0" borderId="0" xfId="7" applyFont="1" applyAlignment="1">
      <alignment horizontal="center" vertical="center"/>
    </xf>
    <xf numFmtId="183" fontId="22" fillId="0" borderId="0" xfId="7" applyNumberFormat="1" applyFont="1" applyAlignment="1">
      <alignment horizontal="center" vertical="center"/>
    </xf>
    <xf numFmtId="181" fontId="22" fillId="0" borderId="101" xfId="7" applyNumberFormat="1" applyFont="1" applyBorder="1" applyAlignment="1" applyProtection="1">
      <alignment horizontal="right" vertical="center" shrinkToFit="1"/>
      <protection locked="0"/>
    </xf>
    <xf numFmtId="181" fontId="22" fillId="0" borderId="102" xfId="7" applyNumberFormat="1" applyFont="1" applyBorder="1" applyAlignment="1" applyProtection="1">
      <alignment horizontal="right" vertical="center" shrinkToFit="1"/>
      <protection locked="0"/>
    </xf>
    <xf numFmtId="181" fontId="34" fillId="0" borderId="104" xfId="7" applyNumberFormat="1" applyFont="1" applyBorder="1" applyAlignment="1" applyProtection="1">
      <alignment horizontal="center" vertical="center" shrinkToFit="1"/>
      <protection locked="0"/>
    </xf>
    <xf numFmtId="181" fontId="34" fillId="0" borderId="105" xfId="7" applyNumberFormat="1" applyFont="1" applyBorder="1" applyAlignment="1" applyProtection="1">
      <alignment horizontal="center" vertical="center" shrinkToFit="1"/>
      <protection locked="0"/>
    </xf>
    <xf numFmtId="180" fontId="22" fillId="0" borderId="105" xfId="7" applyNumberFormat="1" applyFont="1" applyBorder="1" applyAlignment="1" applyProtection="1">
      <alignment vertical="center" shrinkToFit="1"/>
      <protection locked="0"/>
    </xf>
    <xf numFmtId="180" fontId="22" fillId="0" borderId="102" xfId="7" applyNumberFormat="1" applyFont="1" applyBorder="1" applyAlignment="1" applyProtection="1">
      <alignment vertical="center" shrinkToFit="1"/>
      <protection locked="0"/>
    </xf>
    <xf numFmtId="181" fontId="22" fillId="0" borderId="95" xfId="7" applyNumberFormat="1" applyFont="1" applyBorder="1" applyAlignment="1" applyProtection="1">
      <alignment horizontal="right" vertical="center" shrinkToFit="1"/>
      <protection locked="0"/>
    </xf>
    <xf numFmtId="181" fontId="22" fillId="0" borderId="96" xfId="7" applyNumberFormat="1" applyFont="1" applyBorder="1" applyAlignment="1" applyProtection="1">
      <alignment horizontal="right" vertical="center" shrinkToFit="1"/>
      <protection locked="0"/>
    </xf>
    <xf numFmtId="180" fontId="22" fillId="0" borderId="96" xfId="7" applyNumberFormat="1" applyFont="1" applyBorder="1" applyAlignment="1" applyProtection="1">
      <alignment vertical="center" shrinkToFit="1"/>
      <protection locked="0"/>
    </xf>
    <xf numFmtId="0" fontId="33" fillId="0" borderId="12" xfId="7" applyFont="1" applyBorder="1" applyAlignment="1">
      <alignment horizontal="right" vertical="center" shrinkToFit="1"/>
    </xf>
    <xf numFmtId="0" fontId="33" fillId="0" borderId="0" xfId="7" applyFont="1" applyAlignment="1">
      <alignment horizontal="right" vertical="center" shrinkToFit="1"/>
    </xf>
    <xf numFmtId="181" fontId="22" fillId="0" borderId="91" xfId="7" applyNumberFormat="1" applyFont="1" applyBorder="1" applyAlignment="1" applyProtection="1">
      <alignment horizontal="right" vertical="center" shrinkToFit="1"/>
      <protection locked="0"/>
    </xf>
    <xf numFmtId="181" fontId="22" fillId="0" borderId="92" xfId="7" applyNumberFormat="1" applyFont="1" applyBorder="1" applyAlignment="1" applyProtection="1">
      <alignment horizontal="right" vertical="center" shrinkToFit="1"/>
      <protection locked="0"/>
    </xf>
    <xf numFmtId="180" fontId="22" fillId="0" borderId="92" xfId="7" applyNumberFormat="1" applyFont="1" applyBorder="1" applyAlignment="1" applyProtection="1">
      <alignment vertical="center" shrinkToFit="1"/>
      <protection locked="0"/>
    </xf>
    <xf numFmtId="38" fontId="24" fillId="0" borderId="0" xfId="8" applyFont="1" applyProtection="1">
      <alignment vertical="center"/>
    </xf>
    <xf numFmtId="180" fontId="22" fillId="0" borderId="31" xfId="7" applyNumberFormat="1" applyFont="1" applyBorder="1" applyAlignment="1">
      <alignment horizontal="center" vertical="center"/>
    </xf>
    <xf numFmtId="180" fontId="22" fillId="0" borderId="28" xfId="7" applyNumberFormat="1" applyFont="1" applyBorder="1" applyAlignment="1">
      <alignment horizontal="center" vertical="center"/>
    </xf>
    <xf numFmtId="181" fontId="22" fillId="0" borderId="67" xfId="7" applyNumberFormat="1" applyFont="1" applyBorder="1" applyAlignment="1" applyProtection="1">
      <alignment horizontal="right" vertical="center" shrinkToFit="1"/>
      <protection locked="0"/>
    </xf>
    <xf numFmtId="181" fontId="22" fillId="0" borderId="58" xfId="7" applyNumberFormat="1" applyFont="1" applyBorder="1" applyAlignment="1" applyProtection="1">
      <alignment horizontal="right" vertical="center" shrinkToFit="1"/>
      <protection locked="0"/>
    </xf>
    <xf numFmtId="184" fontId="21" fillId="0" borderId="58" xfId="7" applyNumberFormat="1" applyFont="1" applyBorder="1" applyAlignment="1" applyProtection="1">
      <alignment horizontal="right" vertical="center" shrinkToFit="1"/>
      <protection locked="0"/>
    </xf>
    <xf numFmtId="180" fontId="21" fillId="0" borderId="58" xfId="7" applyNumberFormat="1" applyFont="1" applyBorder="1" applyAlignment="1" applyProtection="1">
      <alignment vertical="center" shrinkToFit="1"/>
      <protection locked="0"/>
    </xf>
    <xf numFmtId="181" fontId="22" fillId="0" borderId="9" xfId="7" applyNumberFormat="1" applyFont="1" applyBorder="1" applyAlignment="1" applyProtection="1">
      <alignment horizontal="right" vertical="center" shrinkToFit="1"/>
      <protection locked="0"/>
    </xf>
    <xf numFmtId="181" fontId="22" fillId="0" borderId="5" xfId="7" applyNumberFormat="1" applyFont="1" applyBorder="1" applyAlignment="1" applyProtection="1">
      <alignment horizontal="right" vertical="center" shrinkToFit="1"/>
      <protection locked="0"/>
    </xf>
    <xf numFmtId="184" fontId="22" fillId="0" borderId="5" xfId="7" applyNumberFormat="1" applyFont="1" applyBorder="1" applyAlignment="1" applyProtection="1">
      <alignment horizontal="right" vertical="center" shrinkToFit="1"/>
      <protection locked="0"/>
    </xf>
    <xf numFmtId="180" fontId="22" fillId="0" borderId="5" xfId="7" applyNumberFormat="1" applyFont="1" applyBorder="1" applyAlignment="1" applyProtection="1">
      <alignment vertical="center" shrinkToFit="1"/>
      <protection locked="0"/>
    </xf>
    <xf numFmtId="181" fontId="22" fillId="0" borderId="94" xfId="7" applyNumberFormat="1" applyFont="1" applyBorder="1" applyAlignment="1" applyProtection="1">
      <alignment horizontal="right" vertical="center" shrinkToFit="1"/>
      <protection locked="0"/>
    </xf>
    <xf numFmtId="182" fontId="21" fillId="0" borderId="96" xfId="7" applyNumberFormat="1" applyFont="1" applyBorder="1" applyAlignment="1" applyProtection="1">
      <alignment horizontal="right" vertical="center" shrinkToFit="1"/>
      <protection locked="0"/>
    </xf>
    <xf numFmtId="180" fontId="21" fillId="0" borderId="96" xfId="7" applyNumberFormat="1" applyFont="1" applyBorder="1" applyAlignment="1" applyProtection="1">
      <alignment vertical="center" shrinkToFit="1"/>
      <protection locked="0"/>
    </xf>
    <xf numFmtId="182" fontId="22" fillId="0" borderId="96" xfId="7" applyNumberFormat="1" applyFont="1" applyBorder="1" applyAlignment="1" applyProtection="1">
      <alignment horizontal="right" vertical="center" shrinkToFit="1"/>
      <protection locked="0"/>
    </xf>
    <xf numFmtId="180" fontId="28" fillId="0" borderId="94" xfId="7" applyNumberFormat="1" applyFont="1" applyBorder="1" applyAlignment="1">
      <alignment horizontal="center" vertical="center" shrinkToFit="1"/>
    </xf>
    <xf numFmtId="180" fontId="22" fillId="0" borderId="11" xfId="7" applyNumberFormat="1" applyFont="1" applyBorder="1" applyAlignment="1">
      <alignment vertical="center" textRotation="255" wrapText="1"/>
    </xf>
    <xf numFmtId="180" fontId="28" fillId="0" borderId="88" xfId="7" applyNumberFormat="1" applyFont="1" applyBorder="1" applyAlignment="1">
      <alignment horizontal="center" vertical="center" shrinkToFit="1"/>
    </xf>
    <xf numFmtId="181" fontId="22" fillId="0" borderId="88" xfId="7" applyNumberFormat="1" applyFont="1" applyBorder="1" applyAlignment="1" applyProtection="1">
      <alignment horizontal="right" vertical="center" shrinkToFit="1"/>
      <protection locked="0"/>
    </xf>
    <xf numFmtId="181" fontId="22" fillId="0" borderId="89" xfId="7" applyNumberFormat="1" applyFont="1" applyBorder="1" applyAlignment="1" applyProtection="1">
      <alignment horizontal="right" vertical="center" shrinkToFit="1"/>
      <protection locked="0"/>
    </xf>
    <xf numFmtId="182" fontId="21" fillId="0" borderId="90" xfId="7" applyNumberFormat="1" applyFont="1" applyBorder="1" applyAlignment="1" applyProtection="1">
      <alignment horizontal="right" vertical="center" shrinkToFit="1"/>
      <protection locked="0"/>
    </xf>
    <xf numFmtId="180" fontId="21" fillId="0" borderId="90" xfId="7" applyNumberFormat="1" applyFont="1" applyBorder="1" applyAlignment="1" applyProtection="1">
      <alignment vertical="center" shrinkToFit="1"/>
      <protection locked="0"/>
    </xf>
    <xf numFmtId="183" fontId="17" fillId="0" borderId="9" xfId="7" applyNumberFormat="1" applyFont="1" applyBorder="1" applyAlignment="1" applyProtection="1">
      <alignment vertical="center" shrinkToFit="1"/>
      <protection locked="0"/>
    </xf>
    <xf numFmtId="183" fontId="17" fillId="0" borderId="5" xfId="7" applyNumberFormat="1" applyFont="1" applyBorder="1" applyAlignment="1" applyProtection="1">
      <alignment vertical="center" shrinkToFit="1"/>
      <protection locked="0"/>
    </xf>
    <xf numFmtId="183" fontId="17" fillId="0" borderId="37" xfId="7" applyNumberFormat="1" applyFont="1" applyBorder="1" applyAlignment="1" applyProtection="1">
      <alignment vertical="center" shrinkToFit="1"/>
      <protection locked="0"/>
    </xf>
    <xf numFmtId="183" fontId="17" fillId="0" borderId="12" xfId="7" applyNumberFormat="1" applyFont="1" applyBorder="1" applyAlignment="1" applyProtection="1">
      <alignment vertical="center" shrinkToFit="1"/>
      <protection locked="0"/>
    </xf>
    <xf numFmtId="183" fontId="17" fillId="0" borderId="0" xfId="7" applyNumberFormat="1" applyFont="1" applyAlignment="1" applyProtection="1">
      <alignment vertical="center" shrinkToFit="1"/>
      <protection locked="0"/>
    </xf>
    <xf numFmtId="183" fontId="17" fillId="0" borderId="26" xfId="7" applyNumberFormat="1" applyFont="1" applyBorder="1" applyAlignment="1" applyProtection="1">
      <alignment vertical="center" shrinkToFit="1"/>
      <protection locked="0"/>
    </xf>
    <xf numFmtId="183" fontId="17" fillId="0" borderId="29" xfId="7" applyNumberFormat="1" applyFont="1" applyBorder="1" applyAlignment="1" applyProtection="1">
      <alignment vertical="center" shrinkToFit="1"/>
      <protection locked="0"/>
    </xf>
    <xf numFmtId="183" fontId="17" fillId="0" borderId="32" xfId="7" applyNumberFormat="1" applyFont="1" applyBorder="1" applyAlignment="1" applyProtection="1">
      <alignment vertical="center" shrinkToFit="1"/>
      <protection locked="0"/>
    </xf>
    <xf numFmtId="183" fontId="17" fillId="0" borderId="27" xfId="7" applyNumberFormat="1" applyFont="1" applyBorder="1" applyAlignment="1" applyProtection="1">
      <alignment vertical="center" shrinkToFit="1"/>
      <protection locked="0"/>
    </xf>
    <xf numFmtId="182" fontId="22" fillId="0" borderId="92" xfId="7" applyNumberFormat="1" applyFont="1" applyBorder="1" applyAlignment="1" applyProtection="1">
      <alignment horizontal="right" vertical="center" shrinkToFit="1"/>
      <protection locked="0"/>
    </xf>
    <xf numFmtId="180" fontId="28" fillId="0" borderId="98" xfId="7" applyNumberFormat="1" applyFont="1" applyBorder="1" applyAlignment="1">
      <alignment horizontal="center" vertical="center" shrinkToFit="1"/>
    </xf>
    <xf numFmtId="181" fontId="22" fillId="0" borderId="98" xfId="7" applyNumberFormat="1" applyFont="1" applyBorder="1" applyAlignment="1" applyProtection="1">
      <alignment horizontal="right" vertical="center" shrinkToFit="1"/>
      <protection locked="0"/>
    </xf>
    <xf numFmtId="181" fontId="22" fillId="0" borderId="99" xfId="7" applyNumberFormat="1" applyFont="1" applyBorder="1" applyAlignment="1" applyProtection="1">
      <alignment horizontal="right" vertical="center" shrinkToFit="1"/>
      <protection locked="0"/>
    </xf>
    <xf numFmtId="182" fontId="21" fillId="0" borderId="100" xfId="7" applyNumberFormat="1" applyFont="1" applyBorder="1" applyAlignment="1" applyProtection="1">
      <alignment horizontal="right" vertical="center" shrinkToFit="1"/>
      <protection locked="0"/>
    </xf>
    <xf numFmtId="180" fontId="21" fillId="0" borderId="100" xfId="7" applyNumberFormat="1" applyFont="1" applyBorder="1" applyAlignment="1" applyProtection="1">
      <alignment vertical="center" shrinkToFit="1"/>
      <protection locked="0"/>
    </xf>
    <xf numFmtId="182" fontId="22" fillId="0" borderId="102" xfId="7" applyNumberFormat="1" applyFont="1" applyBorder="1" applyAlignment="1" applyProtection="1">
      <alignment horizontal="right" vertical="center" shrinkToFit="1"/>
      <protection locked="0"/>
    </xf>
    <xf numFmtId="179" fontId="28" fillId="6" borderId="31" xfId="7" applyNumberFormat="1" applyFont="1" applyFill="1" applyBorder="1" applyAlignment="1" applyProtection="1">
      <alignment vertical="center" shrinkToFit="1"/>
      <protection locked="0"/>
    </xf>
    <xf numFmtId="179" fontId="28" fillId="6" borderId="60" xfId="7" applyNumberFormat="1" applyFont="1" applyFill="1" applyBorder="1" applyAlignment="1" applyProtection="1">
      <alignment vertical="center" shrinkToFit="1"/>
      <protection locked="0"/>
    </xf>
    <xf numFmtId="179" fontId="28" fillId="0" borderId="31" xfId="7" applyNumberFormat="1" applyFont="1" applyBorder="1" applyAlignment="1" applyProtection="1">
      <alignment vertical="center" shrinkToFit="1"/>
      <protection locked="0"/>
    </xf>
    <xf numFmtId="179" fontId="28" fillId="0" borderId="28" xfId="7" applyNumberFormat="1" applyFont="1" applyBorder="1" applyAlignment="1" applyProtection="1">
      <alignment vertical="center" shrinkToFit="1"/>
      <protection locked="0"/>
    </xf>
    <xf numFmtId="179" fontId="28" fillId="0" borderId="67" xfId="7" applyNumberFormat="1" applyFont="1" applyBorder="1" applyAlignment="1" applyProtection="1">
      <alignment vertical="center" shrinkToFit="1"/>
      <protection locked="0"/>
    </xf>
    <xf numFmtId="179" fontId="28" fillId="0" borderId="60" xfId="7" applyNumberFormat="1" applyFont="1" applyBorder="1" applyAlignment="1" applyProtection="1">
      <alignment vertical="center" shrinkToFit="1"/>
      <protection locked="0"/>
    </xf>
    <xf numFmtId="0" fontId="28" fillId="0" borderId="83" xfId="7" applyFont="1" applyBorder="1">
      <alignment vertical="center"/>
    </xf>
    <xf numFmtId="0" fontId="28" fillId="0" borderId="84" xfId="7" applyFont="1" applyBorder="1">
      <alignment vertical="center"/>
    </xf>
    <xf numFmtId="0" fontId="28" fillId="0" borderId="85" xfId="7" applyFont="1" applyBorder="1">
      <alignment vertical="center"/>
    </xf>
    <xf numFmtId="0" fontId="28" fillId="0" borderId="86" xfId="7" applyFont="1" applyBorder="1">
      <alignment vertical="center"/>
    </xf>
    <xf numFmtId="0" fontId="21" fillId="0" borderId="34" xfId="7" applyFont="1" applyBorder="1" applyAlignment="1">
      <alignment horizontal="center" vertical="center"/>
    </xf>
    <xf numFmtId="0" fontId="21" fillId="0" borderId="13" xfId="7" applyFont="1" applyBorder="1" applyAlignment="1">
      <alignment horizontal="center" vertical="center"/>
    </xf>
    <xf numFmtId="0" fontId="21" fillId="0" borderId="35" xfId="7" applyFont="1" applyBorder="1" applyAlignment="1">
      <alignment horizontal="center" vertical="center"/>
    </xf>
    <xf numFmtId="0" fontId="21" fillId="0" borderId="25" xfId="7" applyFont="1" applyBorder="1" applyAlignment="1">
      <alignment horizontal="center" vertical="center"/>
    </xf>
    <xf numFmtId="0" fontId="21" fillId="0" borderId="87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 textRotation="255" wrapText="1"/>
    </xf>
    <xf numFmtId="0" fontId="28" fillId="0" borderId="6" xfId="7" applyFont="1" applyBorder="1" applyAlignment="1">
      <alignment horizontal="center" vertical="center" textRotation="255" wrapText="1"/>
    </xf>
    <xf numFmtId="0" fontId="24" fillId="5" borderId="5" xfId="7" applyFont="1" applyFill="1" applyBorder="1" applyAlignment="1">
      <alignment horizontal="center" vertical="center" wrapText="1"/>
    </xf>
    <xf numFmtId="0" fontId="24" fillId="5" borderId="10" xfId="7" applyFont="1" applyFill="1" applyBorder="1" applyAlignment="1">
      <alignment horizontal="center" vertical="center" wrapText="1"/>
    </xf>
    <xf numFmtId="0" fontId="24" fillId="5" borderId="8" xfId="7" applyFont="1" applyFill="1" applyBorder="1" applyAlignment="1">
      <alignment horizontal="center" vertical="center" wrapText="1"/>
    </xf>
    <xf numFmtId="0" fontId="24" fillId="5" borderId="7" xfId="7" applyFont="1" applyFill="1" applyBorder="1" applyAlignment="1">
      <alignment horizontal="center" vertical="center" wrapText="1"/>
    </xf>
    <xf numFmtId="0" fontId="28" fillId="0" borderId="57" xfId="7" applyFont="1" applyBorder="1">
      <alignment vertical="center"/>
    </xf>
    <xf numFmtId="0" fontId="28" fillId="0" borderId="59" xfId="7" applyFont="1" applyBorder="1">
      <alignment vertical="center"/>
    </xf>
    <xf numFmtId="178" fontId="28" fillId="0" borderId="55" xfId="7" applyNumberFormat="1" applyFont="1" applyBorder="1" applyAlignment="1">
      <alignment horizontal="center" vertical="center"/>
    </xf>
    <xf numFmtId="178" fontId="28" fillId="0" borderId="3" xfId="7" applyNumberFormat="1" applyFont="1" applyBorder="1" applyAlignment="1">
      <alignment horizontal="center" vertical="center"/>
    </xf>
    <xf numFmtId="179" fontId="28" fillId="0" borderId="3" xfId="7" applyNumberFormat="1" applyFont="1" applyBorder="1" applyAlignment="1" applyProtection="1">
      <alignment vertical="center" shrinkToFit="1"/>
      <protection locked="0"/>
    </xf>
    <xf numFmtId="179" fontId="28" fillId="0" borderId="56" xfId="7" applyNumberFormat="1" applyFont="1" applyBorder="1" applyAlignment="1" applyProtection="1">
      <alignment vertical="center" shrinkToFit="1"/>
      <protection locked="0"/>
    </xf>
    <xf numFmtId="0" fontId="28" fillId="0" borderId="51" xfId="7" applyFont="1" applyBorder="1">
      <alignment vertical="center"/>
    </xf>
    <xf numFmtId="0" fontId="28" fillId="0" borderId="53" xfId="7" applyFont="1" applyBorder="1">
      <alignment vertical="center"/>
    </xf>
    <xf numFmtId="179" fontId="28" fillId="0" borderId="65" xfId="7" applyNumberFormat="1" applyFont="1" applyBorder="1" applyAlignment="1" applyProtection="1">
      <alignment vertical="center" shrinkToFit="1"/>
      <protection locked="0"/>
    </xf>
    <xf numFmtId="179" fontId="28" fillId="0" borderId="54" xfId="7" applyNumberFormat="1" applyFont="1" applyBorder="1" applyAlignment="1" applyProtection="1">
      <alignment vertical="center" shrinkToFit="1"/>
      <protection locked="0"/>
    </xf>
    <xf numFmtId="0" fontId="28" fillId="0" borderId="55" xfId="7" applyFont="1" applyBorder="1">
      <alignment vertical="center"/>
    </xf>
    <xf numFmtId="0" fontId="28" fillId="0" borderId="3" xfId="7" applyFont="1" applyBorder="1">
      <alignment vertical="center"/>
    </xf>
    <xf numFmtId="179" fontId="28" fillId="0" borderId="30" xfId="7" applyNumberFormat="1" applyFont="1" applyBorder="1" applyAlignment="1" applyProtection="1">
      <alignment vertical="center" shrinkToFit="1"/>
      <protection locked="0"/>
    </xf>
    <xf numFmtId="0" fontId="28" fillId="0" borderId="13" xfId="7" applyFont="1" applyBorder="1" applyAlignment="1">
      <alignment horizontal="center" vertical="center" shrinkToFit="1"/>
    </xf>
    <xf numFmtId="0" fontId="28" fillId="0" borderId="6" xfId="7" applyFont="1" applyBorder="1" applyAlignment="1">
      <alignment horizontal="center" vertical="center" shrinkToFit="1"/>
    </xf>
    <xf numFmtId="0" fontId="21" fillId="0" borderId="12" xfId="7" applyFont="1" applyBorder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21" fillId="0" borderId="11" xfId="7" applyFont="1" applyBorder="1" applyAlignment="1">
      <alignment horizontal="center" vertical="center"/>
    </xf>
    <xf numFmtId="0" fontId="21" fillId="0" borderId="6" xfId="7" applyFont="1" applyBorder="1" applyAlignment="1">
      <alignment horizontal="center" vertical="center"/>
    </xf>
    <xf numFmtId="0" fontId="21" fillId="0" borderId="8" xfId="7" applyFont="1" applyBorder="1" applyAlignment="1">
      <alignment horizontal="center" vertical="center"/>
    </xf>
    <xf numFmtId="0" fontId="21" fillId="0" borderId="7" xfId="7" applyFont="1" applyBorder="1" applyAlignment="1">
      <alignment horizontal="center" vertical="center"/>
    </xf>
    <xf numFmtId="0" fontId="28" fillId="0" borderId="65" xfId="7" applyFont="1" applyBorder="1" applyAlignment="1">
      <alignment horizontal="center" vertical="center"/>
    </xf>
    <xf numFmtId="0" fontId="28" fillId="0" borderId="33" xfId="7" applyFont="1" applyBorder="1" applyAlignment="1">
      <alignment horizontal="center" vertical="center"/>
    </xf>
    <xf numFmtId="0" fontId="28" fillId="0" borderId="30" xfId="7" applyFont="1" applyBorder="1" applyAlignment="1">
      <alignment horizontal="center" vertical="center"/>
    </xf>
    <xf numFmtId="0" fontId="28" fillId="0" borderId="1" xfId="7" applyFont="1" applyBorder="1" applyAlignment="1">
      <alignment horizontal="center" vertical="center"/>
    </xf>
    <xf numFmtId="0" fontId="28" fillId="0" borderId="69" xfId="7" applyFont="1" applyBorder="1" applyAlignment="1">
      <alignment horizontal="center" vertical="center"/>
    </xf>
    <xf numFmtId="0" fontId="28" fillId="0" borderId="54" xfId="7" applyFont="1" applyBorder="1" applyAlignment="1">
      <alignment horizontal="center" vertical="center"/>
    </xf>
    <xf numFmtId="0" fontId="28" fillId="0" borderId="53" xfId="7" applyFont="1" applyBorder="1" applyAlignment="1">
      <alignment horizontal="center" vertical="center" wrapText="1"/>
    </xf>
    <xf numFmtId="0" fontId="28" fillId="0" borderId="54" xfId="7" applyFont="1" applyBorder="1" applyAlignment="1">
      <alignment horizontal="center" vertical="center" wrapText="1"/>
    </xf>
    <xf numFmtId="0" fontId="28" fillId="0" borderId="3" xfId="7" applyFont="1" applyBorder="1" applyAlignment="1">
      <alignment horizontal="center" vertical="center" wrapText="1"/>
    </xf>
    <xf numFmtId="0" fontId="28" fillId="0" borderId="56" xfId="7" applyFont="1" applyBorder="1" applyAlignment="1">
      <alignment horizontal="center" vertical="center" wrapText="1"/>
    </xf>
    <xf numFmtId="0" fontId="21" fillId="5" borderId="6" xfId="7" applyFont="1" applyFill="1" applyBorder="1">
      <alignment vertical="center"/>
    </xf>
    <xf numFmtId="0" fontId="21" fillId="5" borderId="7" xfId="7" applyFont="1" applyFill="1" applyBorder="1">
      <alignment vertical="center"/>
    </xf>
    <xf numFmtId="0" fontId="21" fillId="0" borderId="6" xfId="7" applyFont="1" applyBorder="1">
      <alignment vertical="center"/>
    </xf>
    <xf numFmtId="0" fontId="21" fillId="0" borderId="7" xfId="7" applyFont="1" applyBorder="1">
      <alignment vertical="center"/>
    </xf>
    <xf numFmtId="0" fontId="21" fillId="0" borderId="67" xfId="7" applyFont="1" applyBorder="1">
      <alignment vertical="center"/>
    </xf>
    <xf numFmtId="0" fontId="21" fillId="0" borderId="68" xfId="7" applyFont="1" applyBorder="1">
      <alignment vertical="center"/>
    </xf>
    <xf numFmtId="0" fontId="21" fillId="0" borderId="57" xfId="7" applyFont="1" applyBorder="1">
      <alignment vertical="center"/>
    </xf>
    <xf numFmtId="0" fontId="21" fillId="0" borderId="59" xfId="7" applyFont="1" applyBorder="1">
      <alignment vertical="center"/>
    </xf>
    <xf numFmtId="0" fontId="24" fillId="0" borderId="0" xfId="7" applyFont="1" applyAlignment="1">
      <alignment horizontal="center" vertical="center"/>
    </xf>
    <xf numFmtId="0" fontId="28" fillId="0" borderId="51" xfId="7" applyFont="1" applyBorder="1" applyAlignment="1">
      <alignment horizontal="center" vertical="center"/>
    </xf>
    <xf numFmtId="0" fontId="28" fillId="0" borderId="52" xfId="7" applyFont="1" applyBorder="1" applyAlignment="1">
      <alignment horizontal="center" vertical="center"/>
    </xf>
    <xf numFmtId="0" fontId="28" fillId="0" borderId="66" xfId="7" applyFont="1" applyBorder="1" applyAlignment="1">
      <alignment horizontal="center" vertical="center"/>
    </xf>
    <xf numFmtId="0" fontId="28" fillId="0" borderId="55" xfId="7" applyFont="1" applyBorder="1" applyAlignment="1">
      <alignment horizontal="center" vertical="center"/>
    </xf>
    <xf numFmtId="0" fontId="28" fillId="0" borderId="3" xfId="7" applyFont="1" applyBorder="1" applyAlignment="1">
      <alignment horizontal="center" vertical="center"/>
    </xf>
    <xf numFmtId="0" fontId="28" fillId="0" borderId="2" xfId="7" applyFont="1" applyBorder="1" applyAlignment="1">
      <alignment horizontal="center" vertical="center"/>
    </xf>
    <xf numFmtId="0" fontId="28" fillId="0" borderId="39" xfId="7" applyFont="1" applyBorder="1" applyAlignment="1">
      <alignment horizontal="center" vertical="center"/>
    </xf>
    <xf numFmtId="0" fontId="24" fillId="0" borderId="36" xfId="7" applyFont="1" applyBorder="1" applyAlignment="1">
      <alignment horizontal="center" vertical="center"/>
    </xf>
    <xf numFmtId="0" fontId="24" fillId="0" borderId="5" xfId="7" applyFont="1" applyBorder="1" applyAlignment="1">
      <alignment horizontal="center" vertical="center"/>
    </xf>
    <xf numFmtId="0" fontId="24" fillId="0" borderId="37" xfId="7" applyFont="1" applyBorder="1" applyAlignment="1">
      <alignment horizontal="center" vertical="center"/>
    </xf>
    <xf numFmtId="0" fontId="24" fillId="0" borderId="64" xfId="7" applyFont="1" applyBorder="1" applyAlignment="1">
      <alignment horizontal="center" vertical="center"/>
    </xf>
    <xf numFmtId="0" fontId="24" fillId="0" borderId="32" xfId="7" applyFont="1" applyBorder="1" applyAlignment="1">
      <alignment horizontal="center" vertical="center"/>
    </xf>
    <xf numFmtId="0" fontId="24" fillId="0" borderId="27" xfId="7" applyFont="1" applyBorder="1" applyAlignment="1">
      <alignment horizontal="center" vertical="center"/>
    </xf>
    <xf numFmtId="0" fontId="22" fillId="0" borderId="51" xfId="7" applyFont="1" applyBorder="1" applyAlignment="1">
      <alignment horizontal="center" vertical="center"/>
    </xf>
    <xf numFmtId="0" fontId="22" fillId="0" borderId="52" xfId="7" applyFont="1" applyBorder="1" applyAlignment="1">
      <alignment horizontal="center" vertical="center"/>
    </xf>
    <xf numFmtId="0" fontId="22" fillId="0" borderId="53" xfId="7" applyFont="1" applyBorder="1" applyAlignment="1">
      <alignment horizontal="center" vertical="center"/>
    </xf>
    <xf numFmtId="0" fontId="22" fillId="0" borderId="55" xfId="7" applyFont="1" applyBorder="1" applyAlignment="1">
      <alignment horizontal="center" vertical="center"/>
    </xf>
    <xf numFmtId="0" fontId="22" fillId="0" borderId="4" xfId="7" applyFont="1" applyBorder="1" applyAlignment="1">
      <alignment horizontal="center" vertical="center"/>
    </xf>
    <xf numFmtId="0" fontId="22" fillId="0" borderId="3" xfId="7" applyFont="1" applyBorder="1" applyAlignment="1">
      <alignment horizontal="center" vertical="center"/>
    </xf>
    <xf numFmtId="0" fontId="29" fillId="5" borderId="33" xfId="7" applyFont="1" applyFill="1" applyBorder="1" applyAlignment="1" applyProtection="1">
      <alignment horizontal="left" vertical="center" indent="1"/>
      <protection locked="0"/>
    </xf>
    <xf numFmtId="0" fontId="29" fillId="5" borderId="54" xfId="7" applyFont="1" applyFill="1" applyBorder="1" applyAlignment="1" applyProtection="1">
      <alignment horizontal="left" vertical="center" indent="1"/>
      <protection locked="0"/>
    </xf>
    <xf numFmtId="0" fontId="29" fillId="5" borderId="1" xfId="7" applyFont="1" applyFill="1" applyBorder="1" applyAlignment="1" applyProtection="1">
      <alignment horizontal="left" vertical="center" indent="1"/>
      <protection locked="0"/>
    </xf>
    <xf numFmtId="0" fontId="29" fillId="5" borderId="56" xfId="7" applyFont="1" applyFill="1" applyBorder="1" applyAlignment="1" applyProtection="1">
      <alignment horizontal="left" vertical="center" indent="1"/>
      <protection locked="0"/>
    </xf>
    <xf numFmtId="177" fontId="24" fillId="5" borderId="61" xfId="7" applyNumberFormat="1" applyFont="1" applyFill="1" applyBorder="1" applyAlignment="1" applyProtection="1">
      <alignment horizontal="center" vertical="center" shrinkToFit="1"/>
      <protection locked="0"/>
    </xf>
    <xf numFmtId="177" fontId="24" fillId="5" borderId="62" xfId="7" applyNumberFormat="1" applyFont="1" applyFill="1" applyBorder="1" applyAlignment="1" applyProtection="1">
      <alignment horizontal="center" vertical="center" shrinkToFit="1"/>
      <protection locked="0"/>
    </xf>
    <xf numFmtId="177" fontId="24" fillId="5" borderId="64" xfId="7" applyNumberFormat="1" applyFont="1" applyFill="1" applyBorder="1" applyAlignment="1" applyProtection="1">
      <alignment horizontal="center" vertical="center" shrinkToFit="1"/>
      <protection locked="0"/>
    </xf>
    <xf numFmtId="177" fontId="24" fillId="5" borderId="32" xfId="7" applyNumberFormat="1" applyFont="1" applyFill="1" applyBorder="1" applyAlignment="1" applyProtection="1">
      <alignment horizontal="center" vertical="center" shrinkToFit="1"/>
      <protection locked="0"/>
    </xf>
    <xf numFmtId="58" fontId="21" fillId="0" borderId="62" xfId="7" applyNumberFormat="1" applyFont="1" applyBorder="1" applyAlignment="1">
      <alignment horizontal="center" vertical="center"/>
    </xf>
    <xf numFmtId="0" fontId="21" fillId="0" borderId="62" xfId="7" applyFont="1" applyBorder="1" applyAlignment="1">
      <alignment horizontal="center" vertical="center"/>
    </xf>
    <xf numFmtId="0" fontId="21" fillId="0" borderId="32" xfId="7" applyFont="1" applyBorder="1" applyAlignment="1">
      <alignment horizontal="center" vertical="center"/>
    </xf>
    <xf numFmtId="177" fontId="24" fillId="5" borderId="62" xfId="7" applyNumberFormat="1" applyFont="1" applyFill="1" applyBorder="1" applyAlignment="1" applyProtection="1">
      <alignment horizontal="center" vertical="center"/>
      <protection locked="0"/>
    </xf>
    <xf numFmtId="177" fontId="24" fillId="5" borderId="32" xfId="7" applyNumberFormat="1" applyFont="1" applyFill="1" applyBorder="1" applyAlignment="1" applyProtection="1">
      <alignment horizontal="center" vertical="center"/>
      <protection locked="0"/>
    </xf>
    <xf numFmtId="0" fontId="24" fillId="0" borderId="62" xfId="7" applyFont="1" applyBorder="1" applyAlignment="1">
      <alignment horizontal="center" vertical="center"/>
    </xf>
    <xf numFmtId="0" fontId="22" fillId="0" borderId="62" xfId="7" applyFont="1" applyBorder="1" applyAlignment="1">
      <alignment horizontal="center" vertical="center"/>
    </xf>
    <xf numFmtId="0" fontId="22" fillId="0" borderId="32" xfId="7" applyFont="1" applyBorder="1" applyAlignment="1">
      <alignment horizontal="center" vertical="center"/>
    </xf>
    <xf numFmtId="0" fontId="22" fillId="5" borderId="1" xfId="7" applyFont="1" applyFill="1" applyBorder="1" applyAlignment="1">
      <alignment horizontal="center" vertical="center"/>
    </xf>
    <xf numFmtId="0" fontId="22" fillId="0" borderId="0" xfId="7" applyFont="1" applyAlignment="1">
      <alignment vertical="center" wrapText="1"/>
    </xf>
    <xf numFmtId="0" fontId="22" fillId="0" borderId="57" xfId="7" applyFont="1" applyBorder="1" applyAlignment="1">
      <alignment horizontal="center" vertical="center"/>
    </xf>
    <xf numFmtId="0" fontId="22" fillId="0" borderId="58" xfId="7" applyFont="1" applyBorder="1" applyAlignment="1">
      <alignment horizontal="center" vertical="center"/>
    </xf>
    <xf numFmtId="0" fontId="22" fillId="0" borderId="59" xfId="7" applyFont="1" applyBorder="1" applyAlignment="1">
      <alignment horizontal="center" vertical="center"/>
    </xf>
    <xf numFmtId="0" fontId="29" fillId="5" borderId="28" xfId="7" applyFont="1" applyFill="1" applyBorder="1" applyAlignment="1" applyProtection="1">
      <alignment horizontal="left" vertical="center" indent="1"/>
      <protection locked="0"/>
    </xf>
    <xf numFmtId="0" fontId="29" fillId="5" borderId="60" xfId="7" applyFont="1" applyFill="1" applyBorder="1" applyAlignment="1" applyProtection="1">
      <alignment horizontal="left" vertical="center" indent="1"/>
      <protection locked="0"/>
    </xf>
    <xf numFmtId="0" fontId="30" fillId="0" borderId="0" xfId="7" applyFont="1" applyAlignment="1">
      <alignment horizontal="center" vertical="center"/>
    </xf>
    <xf numFmtId="0" fontId="24" fillId="0" borderId="63" xfId="7" applyFont="1" applyBorder="1" applyAlignment="1">
      <alignment horizontal="center" vertical="center"/>
    </xf>
    <xf numFmtId="0" fontId="22" fillId="0" borderId="27" xfId="7" applyFont="1" applyBorder="1" applyAlignment="1">
      <alignment horizontal="center" vertical="center"/>
    </xf>
    <xf numFmtId="0" fontId="17" fillId="0" borderId="0" xfId="7" applyFont="1" applyAlignment="1">
      <alignment vertical="top"/>
    </xf>
    <xf numFmtId="0" fontId="18" fillId="0" borderId="0" xfId="7" applyFont="1" applyAlignment="1">
      <alignment vertical="top"/>
    </xf>
    <xf numFmtId="0" fontId="20" fillId="0" borderId="40" xfId="7" applyFont="1" applyBorder="1" applyAlignment="1">
      <alignment horizontal="center" vertical="center" textRotation="255"/>
    </xf>
    <xf numFmtId="0" fontId="20" fillId="0" borderId="43" xfId="7" applyFont="1" applyBorder="1" applyAlignment="1">
      <alignment horizontal="center" vertical="center" textRotation="255"/>
    </xf>
    <xf numFmtId="0" fontId="20" fillId="0" borderId="46" xfId="7" applyFont="1" applyBorder="1" applyAlignment="1">
      <alignment horizontal="center" vertical="center" textRotation="255"/>
    </xf>
    <xf numFmtId="0" fontId="20" fillId="5" borderId="41" xfId="7" applyFont="1" applyFill="1" applyBorder="1" applyAlignment="1" applyProtection="1">
      <alignment horizontal="center" vertical="center"/>
      <protection locked="0"/>
    </xf>
    <xf numFmtId="0" fontId="20" fillId="5" borderId="42" xfId="7" applyFont="1" applyFill="1" applyBorder="1" applyAlignment="1" applyProtection="1">
      <alignment horizontal="center" vertical="center"/>
      <protection locked="0"/>
    </xf>
    <xf numFmtId="0" fontId="20" fillId="5" borderId="44" xfId="7" applyFont="1" applyFill="1" applyBorder="1" applyAlignment="1" applyProtection="1">
      <alignment horizontal="center" vertical="center"/>
      <protection locked="0"/>
    </xf>
    <xf numFmtId="0" fontId="20" fillId="5" borderId="45" xfId="7" applyFont="1" applyFill="1" applyBorder="1" applyAlignment="1" applyProtection="1">
      <alignment horizontal="center" vertical="center"/>
      <protection locked="0"/>
    </xf>
    <xf numFmtId="0" fontId="20" fillId="5" borderId="47" xfId="7" applyFont="1" applyFill="1" applyBorder="1" applyAlignment="1" applyProtection="1">
      <alignment horizontal="center" vertical="center"/>
      <protection locked="0"/>
    </xf>
    <xf numFmtId="0" fontId="20" fillId="5" borderId="48" xfId="7" applyFont="1" applyFill="1" applyBorder="1" applyAlignment="1" applyProtection="1">
      <alignment horizontal="center" vertical="center"/>
      <protection locked="0"/>
    </xf>
    <xf numFmtId="0" fontId="24" fillId="0" borderId="8" xfId="7" applyFont="1" applyBorder="1" applyAlignment="1">
      <alignment horizontal="center" vertical="center"/>
    </xf>
    <xf numFmtId="0" fontId="22" fillId="0" borderId="8" xfId="7" applyFont="1" applyBorder="1" applyAlignment="1">
      <alignment horizontal="center" vertical="center"/>
    </xf>
    <xf numFmtId="0" fontId="25" fillId="0" borderId="2" xfId="7" applyFont="1" applyBorder="1" applyAlignment="1" applyProtection="1">
      <alignment horizontal="center" vertical="center"/>
      <protection locked="0"/>
    </xf>
    <xf numFmtId="0" fontId="25" fillId="0" borderId="3" xfId="7" applyFont="1" applyBorder="1" applyAlignment="1" applyProtection="1">
      <alignment horizontal="center" vertical="center"/>
      <protection locked="0"/>
    </xf>
    <xf numFmtId="0" fontId="22" fillId="0" borderId="8" xfId="9" applyFont="1" applyBorder="1" applyAlignment="1">
      <alignment vertical="center" shrinkToFit="1"/>
    </xf>
    <xf numFmtId="0" fontId="22" fillId="0" borderId="7" xfId="9" applyFont="1" applyBorder="1" applyAlignment="1">
      <alignment vertical="center" shrinkToFit="1"/>
    </xf>
    <xf numFmtId="0" fontId="22" fillId="0" borderId="2" xfId="7" applyFont="1" applyBorder="1" applyAlignment="1">
      <alignment horizontal="center" vertical="center"/>
    </xf>
    <xf numFmtId="0" fontId="22" fillId="0" borderId="4" xfId="9" applyFont="1" applyBorder="1" applyAlignment="1">
      <alignment vertical="center" shrinkToFit="1"/>
    </xf>
    <xf numFmtId="0" fontId="22" fillId="0" borderId="3" xfId="9" applyFont="1" applyBorder="1" applyAlignment="1">
      <alignment vertical="center" shrinkToFit="1"/>
    </xf>
    <xf numFmtId="180" fontId="22" fillId="0" borderId="12" xfId="7" applyNumberFormat="1" applyFont="1" applyBorder="1">
      <alignment vertical="center"/>
    </xf>
    <xf numFmtId="180" fontId="22" fillId="0" borderId="0" xfId="7" applyNumberFormat="1" applyFont="1">
      <alignment vertical="center"/>
    </xf>
    <xf numFmtId="183" fontId="22" fillId="0" borderId="12" xfId="8" applyNumberFormat="1" applyFont="1" applyFill="1" applyBorder="1" applyAlignment="1">
      <alignment vertical="center" shrinkToFit="1"/>
    </xf>
    <xf numFmtId="183" fontId="22" fillId="0" borderId="11" xfId="8" applyNumberFormat="1" applyFont="1" applyFill="1" applyBorder="1" applyAlignment="1">
      <alignment vertical="center" shrinkToFit="1"/>
    </xf>
    <xf numFmtId="183" fontId="22" fillId="0" borderId="0" xfId="8" applyNumberFormat="1" applyFont="1" applyFill="1" applyBorder="1" applyAlignment="1">
      <alignment vertical="center" shrinkToFit="1"/>
    </xf>
    <xf numFmtId="0" fontId="22" fillId="0" borderId="0" xfId="9" applyFont="1" applyAlignment="1">
      <alignment vertical="center" shrinkToFit="1"/>
    </xf>
    <xf numFmtId="0" fontId="22" fillId="0" borderId="11" xfId="9" applyFont="1" applyBorder="1" applyAlignment="1">
      <alignment vertical="center" shrinkToFit="1"/>
    </xf>
    <xf numFmtId="0" fontId="22" fillId="9" borderId="12" xfId="9" applyFont="1" applyFill="1" applyBorder="1" applyAlignment="1">
      <alignment vertical="center" shrinkToFit="1"/>
    </xf>
    <xf numFmtId="0" fontId="22" fillId="9" borderId="0" xfId="9" applyFont="1" applyFill="1" applyAlignment="1">
      <alignment vertical="center" shrinkToFit="1"/>
    </xf>
    <xf numFmtId="0" fontId="22" fillId="9" borderId="11" xfId="9" applyFont="1" applyFill="1" applyBorder="1" applyAlignment="1">
      <alignment vertical="center" shrinkToFit="1"/>
    </xf>
    <xf numFmtId="180" fontId="22" fillId="9" borderId="12" xfId="7" applyNumberFormat="1" applyFont="1" applyFill="1" applyBorder="1">
      <alignment vertical="center"/>
    </xf>
    <xf numFmtId="180" fontId="22" fillId="9" borderId="0" xfId="7" applyNumberFormat="1" applyFont="1" applyFill="1">
      <alignment vertical="center"/>
    </xf>
    <xf numFmtId="183" fontId="22" fillId="9" borderId="12" xfId="8" applyNumberFormat="1" applyFont="1" applyFill="1" applyBorder="1" applyAlignment="1">
      <alignment vertical="center" shrinkToFit="1"/>
    </xf>
    <xf numFmtId="183" fontId="22" fillId="9" borderId="11" xfId="8" applyNumberFormat="1" applyFont="1" applyFill="1" applyBorder="1" applyAlignment="1">
      <alignment vertical="center" shrinkToFit="1"/>
    </xf>
    <xf numFmtId="183" fontId="22" fillId="9" borderId="0" xfId="8" applyNumberFormat="1" applyFont="1" applyFill="1" applyBorder="1" applyAlignment="1">
      <alignment vertical="center" shrinkToFit="1"/>
    </xf>
    <xf numFmtId="0" fontId="24" fillId="5" borderId="9" xfId="7" applyFont="1" applyFill="1" applyBorder="1" applyAlignment="1">
      <alignment horizontal="center" vertical="center" wrapText="1"/>
    </xf>
    <xf numFmtId="0" fontId="24" fillId="5" borderId="6" xfId="7" applyFont="1" applyFill="1" applyBorder="1" applyAlignment="1">
      <alignment horizontal="center" vertical="center" wrapText="1"/>
    </xf>
    <xf numFmtId="0" fontId="22" fillId="0" borderId="12" xfId="9" applyFont="1" applyBorder="1" applyAlignment="1">
      <alignment vertical="center" shrinkToFit="1"/>
    </xf>
    <xf numFmtId="0" fontId="22" fillId="0" borderId="5" xfId="9" applyFont="1" applyBorder="1" applyAlignment="1">
      <alignment vertical="center" shrinkToFit="1"/>
    </xf>
    <xf numFmtId="0" fontId="22" fillId="0" borderId="10" xfId="9" applyFont="1" applyBorder="1" applyAlignment="1">
      <alignment vertical="center" shrinkToFit="1"/>
    </xf>
    <xf numFmtId="0" fontId="22" fillId="0" borderId="12" xfId="9" applyFont="1" applyBorder="1" applyAlignment="1">
      <alignment horizontal="center" vertical="center" textRotation="255"/>
    </xf>
    <xf numFmtId="0" fontId="22" fillId="0" borderId="6" xfId="9" applyFont="1" applyBorder="1" applyAlignment="1">
      <alignment horizontal="center" vertical="center" textRotation="255"/>
    </xf>
    <xf numFmtId="0" fontId="22" fillId="0" borderId="131" xfId="9" applyFont="1" applyBorder="1" applyAlignment="1">
      <alignment vertical="center" shrinkToFit="1"/>
    </xf>
    <xf numFmtId="0" fontId="22" fillId="0" borderId="132" xfId="9" applyFont="1" applyBorder="1" applyAlignment="1">
      <alignment vertical="center" shrinkToFit="1"/>
    </xf>
    <xf numFmtId="0" fontId="22" fillId="0" borderId="133" xfId="9" applyFont="1" applyBorder="1" applyAlignment="1">
      <alignment vertical="center" shrinkToFit="1"/>
    </xf>
    <xf numFmtId="180" fontId="22" fillId="0" borderId="131" xfId="7" applyNumberFormat="1" applyFont="1" applyBorder="1">
      <alignment vertical="center"/>
    </xf>
    <xf numFmtId="180" fontId="22" fillId="0" borderId="132" xfId="7" applyNumberFormat="1" applyFont="1" applyBorder="1">
      <alignment vertical="center"/>
    </xf>
    <xf numFmtId="183" fontId="22" fillId="0" borderId="131" xfId="8" applyNumberFormat="1" applyFont="1" applyFill="1" applyBorder="1" applyAlignment="1">
      <alignment vertical="center" shrinkToFit="1"/>
    </xf>
    <xf numFmtId="183" fontId="22" fillId="0" borderId="133" xfId="8" applyNumberFormat="1" applyFont="1" applyFill="1" applyBorder="1" applyAlignment="1">
      <alignment vertical="center" shrinkToFit="1"/>
    </xf>
    <xf numFmtId="183" fontId="22" fillId="0" borderId="132" xfId="8" applyNumberFormat="1" applyFont="1" applyFill="1" applyBorder="1" applyAlignment="1">
      <alignment vertical="center" shrinkToFit="1"/>
    </xf>
    <xf numFmtId="0" fontId="22" fillId="9" borderId="120" xfId="9" applyFont="1" applyFill="1" applyBorder="1" applyAlignment="1">
      <alignment vertical="center" shrinkToFit="1"/>
    </xf>
    <xf numFmtId="0" fontId="22" fillId="9" borderId="121" xfId="9" applyFont="1" applyFill="1" applyBorder="1" applyAlignment="1">
      <alignment vertical="center" shrinkToFit="1"/>
    </xf>
    <xf numFmtId="0" fontId="22" fillId="9" borderId="122" xfId="9" applyFont="1" applyFill="1" applyBorder="1" applyAlignment="1">
      <alignment vertical="center" shrinkToFit="1"/>
    </xf>
    <xf numFmtId="180" fontId="22" fillId="9" borderId="120" xfId="7" applyNumberFormat="1" applyFont="1" applyFill="1" applyBorder="1">
      <alignment vertical="center"/>
    </xf>
    <xf numFmtId="180" fontId="22" fillId="9" borderId="121" xfId="7" applyNumberFormat="1" applyFont="1" applyFill="1" applyBorder="1">
      <alignment vertical="center"/>
    </xf>
    <xf numFmtId="183" fontId="22" fillId="9" borderId="120" xfId="8" applyNumberFormat="1" applyFont="1" applyFill="1" applyBorder="1" applyAlignment="1">
      <alignment vertical="center" shrinkToFit="1"/>
    </xf>
    <xf numFmtId="183" fontId="22" fillId="9" borderId="122" xfId="8" applyNumberFormat="1" applyFont="1" applyFill="1" applyBorder="1" applyAlignment="1">
      <alignment vertical="center" shrinkToFit="1"/>
    </xf>
    <xf numFmtId="183" fontId="22" fillId="9" borderId="121" xfId="8" applyNumberFormat="1" applyFont="1" applyFill="1" applyBorder="1" applyAlignment="1">
      <alignment vertical="center" shrinkToFit="1"/>
    </xf>
    <xf numFmtId="0" fontId="22" fillId="0" borderId="6" xfId="9" applyFont="1" applyBorder="1" applyAlignment="1">
      <alignment vertical="center" shrinkToFit="1"/>
    </xf>
    <xf numFmtId="180" fontId="22" fillId="0" borderId="6" xfId="7" applyNumberFormat="1" applyFont="1" applyBorder="1">
      <alignment vertical="center"/>
    </xf>
    <xf numFmtId="180" fontId="22" fillId="0" borderId="8" xfId="7" applyNumberFormat="1" applyFont="1" applyBorder="1">
      <alignment vertical="center"/>
    </xf>
    <xf numFmtId="183" fontId="22" fillId="0" borderId="6" xfId="8" applyNumberFormat="1" applyFont="1" applyFill="1" applyBorder="1" applyAlignment="1">
      <alignment vertical="center" shrinkToFit="1"/>
    </xf>
    <xf numFmtId="183" fontId="22" fillId="0" borderId="7" xfId="8" applyNumberFormat="1" applyFont="1" applyFill="1" applyBorder="1" applyAlignment="1">
      <alignment vertical="center" shrinkToFit="1"/>
    </xf>
    <xf numFmtId="183" fontId="22" fillId="0" borderId="8" xfId="8" applyNumberFormat="1" applyFont="1" applyFill="1" applyBorder="1" applyAlignment="1">
      <alignment vertical="center" shrinkToFit="1"/>
    </xf>
    <xf numFmtId="0" fontId="24" fillId="0" borderId="10" xfId="8" applyNumberFormat="1" applyFont="1" applyBorder="1" applyAlignment="1">
      <alignment horizontal="left" vertical="center"/>
    </xf>
    <xf numFmtId="0" fontId="24" fillId="0" borderId="7" xfId="8" applyNumberFormat="1" applyFont="1" applyBorder="1" applyAlignment="1">
      <alignment horizontal="left" vertical="center"/>
    </xf>
    <xf numFmtId="0" fontId="22" fillId="9" borderId="117" xfId="9" applyFont="1" applyFill="1" applyBorder="1" applyAlignment="1">
      <alignment vertical="center" shrinkToFit="1"/>
    </xf>
    <xf numFmtId="0" fontId="22" fillId="9" borderId="118" xfId="9" applyFont="1" applyFill="1" applyBorder="1" applyAlignment="1">
      <alignment vertical="center" shrinkToFit="1"/>
    </xf>
    <xf numFmtId="0" fontId="22" fillId="9" borderId="119" xfId="9" applyFont="1" applyFill="1" applyBorder="1" applyAlignment="1">
      <alignment vertical="center" shrinkToFit="1"/>
    </xf>
    <xf numFmtId="180" fontId="22" fillId="9" borderId="117" xfId="7" applyNumberFormat="1" applyFont="1" applyFill="1" applyBorder="1">
      <alignment vertical="center"/>
    </xf>
    <xf numFmtId="180" fontId="22" fillId="9" borderId="118" xfId="7" applyNumberFormat="1" applyFont="1" applyFill="1" applyBorder="1">
      <alignment vertical="center"/>
    </xf>
    <xf numFmtId="183" fontId="22" fillId="9" borderId="117" xfId="8" applyNumberFormat="1" applyFont="1" applyFill="1" applyBorder="1" applyAlignment="1">
      <alignment vertical="center" shrinkToFit="1"/>
    </xf>
    <xf numFmtId="183" fontId="22" fillId="9" borderId="119" xfId="8" applyNumberFormat="1" applyFont="1" applyFill="1" applyBorder="1" applyAlignment="1">
      <alignment vertical="center" shrinkToFit="1"/>
    </xf>
    <xf numFmtId="183" fontId="22" fillId="9" borderId="118" xfId="8" applyNumberFormat="1" applyFont="1" applyFill="1" applyBorder="1" applyAlignment="1">
      <alignment vertical="center" shrinkToFit="1"/>
    </xf>
    <xf numFmtId="0" fontId="22" fillId="0" borderId="9" xfId="9" applyFont="1" applyBorder="1" applyAlignment="1">
      <alignment horizontal="center" vertical="center"/>
    </xf>
    <xf numFmtId="0" fontId="22" fillId="0" borderId="5" xfId="9" applyFont="1" applyBorder="1" applyAlignment="1">
      <alignment horizontal="center" vertical="center"/>
    </xf>
    <xf numFmtId="0" fontId="22" fillId="0" borderId="6" xfId="9" applyFont="1" applyBorder="1" applyAlignment="1">
      <alignment horizontal="center" vertical="center"/>
    </xf>
    <xf numFmtId="0" fontId="22" fillId="0" borderId="8" xfId="9" applyFont="1" applyBorder="1" applyAlignment="1">
      <alignment horizontal="center" vertical="center"/>
    </xf>
    <xf numFmtId="38" fontId="24" fillId="0" borderId="5" xfId="8" applyFont="1" applyBorder="1" applyAlignment="1">
      <alignment horizontal="right" vertical="center"/>
    </xf>
    <xf numFmtId="38" fontId="24" fillId="0" borderId="8" xfId="8" applyFont="1" applyBorder="1" applyAlignment="1">
      <alignment horizontal="right" vertical="center"/>
    </xf>
    <xf numFmtId="0" fontId="22" fillId="0" borderId="117" xfId="9" applyFont="1" applyBorder="1" applyAlignment="1">
      <alignment vertical="center" shrinkToFit="1"/>
    </xf>
    <xf numFmtId="0" fontId="22" fillId="0" borderId="118" xfId="9" applyFont="1" applyBorder="1" applyAlignment="1">
      <alignment vertical="center" shrinkToFit="1"/>
    </xf>
    <xf numFmtId="0" fontId="22" fillId="0" borderId="119" xfId="9" applyFont="1" applyBorder="1" applyAlignment="1">
      <alignment vertical="center" shrinkToFit="1"/>
    </xf>
    <xf numFmtId="180" fontId="22" fillId="0" borderId="117" xfId="7" applyNumberFormat="1" applyFont="1" applyBorder="1">
      <alignment vertical="center"/>
    </xf>
    <xf numFmtId="180" fontId="22" fillId="0" borderId="118" xfId="7" applyNumberFormat="1" applyFont="1" applyBorder="1">
      <alignment vertical="center"/>
    </xf>
    <xf numFmtId="183" fontId="22" fillId="0" borderId="117" xfId="8" applyNumberFormat="1" applyFont="1" applyFill="1" applyBorder="1" applyAlignment="1">
      <alignment vertical="center" shrinkToFit="1"/>
    </xf>
    <xf numFmtId="183" fontId="22" fillId="0" borderId="119" xfId="8" applyNumberFormat="1" applyFont="1" applyFill="1" applyBorder="1" applyAlignment="1">
      <alignment vertical="center" shrinkToFit="1"/>
    </xf>
    <xf numFmtId="183" fontId="22" fillId="0" borderId="118" xfId="8" applyNumberFormat="1" applyFont="1" applyFill="1" applyBorder="1" applyAlignment="1">
      <alignment vertical="center" shrinkToFit="1"/>
    </xf>
    <xf numFmtId="0" fontId="22" fillId="0" borderId="127" xfId="9" applyFont="1" applyBorder="1" applyAlignment="1">
      <alignment horizontal="center" vertical="center"/>
    </xf>
    <xf numFmtId="0" fontId="22" fillId="0" borderId="12" xfId="9" applyFont="1" applyBorder="1" applyAlignment="1">
      <alignment horizontal="center" vertical="center"/>
    </xf>
    <xf numFmtId="0" fontId="22" fillId="0" borderId="123" xfId="9" applyFont="1" applyBorder="1" applyAlignment="1">
      <alignment horizontal="center" vertical="center"/>
    </xf>
    <xf numFmtId="0" fontId="22" fillId="9" borderId="127" xfId="9" applyFont="1" applyFill="1" applyBorder="1" applyAlignment="1">
      <alignment vertical="center" shrinkToFit="1"/>
    </xf>
    <xf numFmtId="0" fontId="22" fillId="9" borderId="128" xfId="9" applyFont="1" applyFill="1" applyBorder="1" applyAlignment="1">
      <alignment vertical="center" shrinkToFit="1"/>
    </xf>
    <xf numFmtId="0" fontId="22" fillId="9" borderId="129" xfId="9" applyFont="1" applyFill="1" applyBorder="1" applyAlignment="1">
      <alignment vertical="center" shrinkToFit="1"/>
    </xf>
    <xf numFmtId="180" fontId="22" fillId="9" borderId="127" xfId="7" applyNumberFormat="1" applyFont="1" applyFill="1" applyBorder="1">
      <alignment vertical="center"/>
    </xf>
    <xf numFmtId="180" fontId="22" fillId="9" borderId="128" xfId="7" applyNumberFormat="1" applyFont="1" applyFill="1" applyBorder="1">
      <alignment vertical="center"/>
    </xf>
    <xf numFmtId="183" fontId="22" fillId="9" borderId="127" xfId="8" applyNumberFormat="1" applyFont="1" applyFill="1" applyBorder="1" applyAlignment="1">
      <alignment vertical="center" shrinkToFit="1"/>
    </xf>
    <xf numFmtId="183" fontId="22" fillId="9" borderId="129" xfId="8" applyNumberFormat="1" applyFont="1" applyFill="1" applyBorder="1" applyAlignment="1">
      <alignment vertical="center" shrinkToFit="1"/>
    </xf>
    <xf numFmtId="183" fontId="22" fillId="9" borderId="128" xfId="8" applyNumberFormat="1" applyFont="1" applyFill="1" applyBorder="1" applyAlignment="1">
      <alignment vertical="center" shrinkToFit="1"/>
    </xf>
    <xf numFmtId="0" fontId="22" fillId="0" borderId="120" xfId="9" applyFont="1" applyBorder="1" applyAlignment="1">
      <alignment vertical="center" shrinkToFit="1"/>
    </xf>
    <xf numFmtId="0" fontId="22" fillId="0" borderId="121" xfId="9" applyFont="1" applyBorder="1" applyAlignment="1">
      <alignment vertical="center" shrinkToFit="1"/>
    </xf>
    <xf numFmtId="0" fontId="22" fillId="0" borderId="122" xfId="9" applyFont="1" applyBorder="1" applyAlignment="1">
      <alignment vertical="center" shrinkToFit="1"/>
    </xf>
    <xf numFmtId="180" fontId="22" fillId="0" borderId="120" xfId="7" applyNumberFormat="1" applyFont="1" applyBorder="1">
      <alignment vertical="center"/>
    </xf>
    <xf numFmtId="180" fontId="22" fillId="0" borderId="121" xfId="7" applyNumberFormat="1" applyFont="1" applyBorder="1">
      <alignment vertical="center"/>
    </xf>
    <xf numFmtId="183" fontId="22" fillId="0" borderId="120" xfId="8" applyNumberFormat="1" applyFont="1" applyFill="1" applyBorder="1" applyAlignment="1">
      <alignment vertical="center" shrinkToFit="1"/>
    </xf>
    <xf numFmtId="183" fontId="22" fillId="0" borderId="122" xfId="8" applyNumberFormat="1" applyFont="1" applyFill="1" applyBorder="1" applyAlignment="1">
      <alignment vertical="center" shrinkToFit="1"/>
    </xf>
    <xf numFmtId="183" fontId="22" fillId="0" borderId="121" xfId="8" applyNumberFormat="1" applyFont="1" applyFill="1" applyBorder="1" applyAlignment="1">
      <alignment vertical="center" shrinkToFit="1"/>
    </xf>
    <xf numFmtId="0" fontId="22" fillId="9" borderId="123" xfId="9" applyFont="1" applyFill="1" applyBorder="1" applyAlignment="1">
      <alignment vertical="center" shrinkToFit="1"/>
    </xf>
    <xf numFmtId="0" fontId="22" fillId="9" borderId="124" xfId="9" applyFont="1" applyFill="1" applyBorder="1" applyAlignment="1">
      <alignment vertical="center" shrinkToFit="1"/>
    </xf>
    <xf numFmtId="0" fontId="22" fillId="9" borderId="125" xfId="9" applyFont="1" applyFill="1" applyBorder="1" applyAlignment="1">
      <alignment vertical="center" shrinkToFit="1"/>
    </xf>
    <xf numFmtId="180" fontId="22" fillId="9" borderId="123" xfId="7" applyNumberFormat="1" applyFont="1" applyFill="1" applyBorder="1">
      <alignment vertical="center"/>
    </xf>
    <xf numFmtId="180" fontId="22" fillId="9" borderId="124" xfId="7" applyNumberFormat="1" applyFont="1" applyFill="1" applyBorder="1">
      <alignment vertical="center"/>
    </xf>
    <xf numFmtId="183" fontId="22" fillId="9" borderId="123" xfId="8" applyNumberFormat="1" applyFont="1" applyFill="1" applyBorder="1" applyAlignment="1">
      <alignment vertical="center" shrinkToFit="1"/>
    </xf>
    <xf numFmtId="183" fontId="22" fillId="9" borderId="125" xfId="8" applyNumberFormat="1" applyFont="1" applyFill="1" applyBorder="1" applyAlignment="1">
      <alignment vertical="center" shrinkToFit="1"/>
    </xf>
    <xf numFmtId="183" fontId="22" fillId="9" borderId="124" xfId="8" applyNumberFormat="1" applyFont="1" applyFill="1" applyBorder="1" applyAlignment="1">
      <alignment vertical="center" shrinkToFit="1"/>
    </xf>
    <xf numFmtId="183" fontId="24" fillId="0" borderId="0" xfId="7" applyNumberFormat="1" applyFont="1" applyAlignment="1">
      <alignment horizontal="center" vertical="center" shrinkToFit="1"/>
    </xf>
    <xf numFmtId="183" fontId="24" fillId="0" borderId="8" xfId="7" applyNumberFormat="1" applyFont="1" applyBorder="1" applyAlignment="1">
      <alignment horizontal="center" vertical="center" shrinkToFit="1"/>
    </xf>
    <xf numFmtId="0" fontId="22" fillId="0" borderId="117" xfId="7" applyFont="1" applyBorder="1" applyAlignment="1">
      <alignment vertical="center" shrinkToFit="1"/>
    </xf>
    <xf numFmtId="0" fontId="22" fillId="0" borderId="118" xfId="7" applyFont="1" applyBorder="1" applyAlignment="1">
      <alignment vertical="center" shrinkToFit="1"/>
    </xf>
    <xf numFmtId="0" fontId="22" fillId="0" borderId="119" xfId="7" applyFont="1" applyBorder="1" applyAlignment="1">
      <alignment vertical="center" shrinkToFit="1"/>
    </xf>
    <xf numFmtId="0" fontId="22" fillId="9" borderId="120" xfId="7" applyFont="1" applyFill="1" applyBorder="1" applyAlignment="1">
      <alignment vertical="center" shrinkToFit="1"/>
    </xf>
    <xf numFmtId="0" fontId="22" fillId="9" borderId="121" xfId="7" applyFont="1" applyFill="1" applyBorder="1" applyAlignment="1">
      <alignment vertical="center" shrinkToFit="1"/>
    </xf>
    <xf numFmtId="0" fontId="22" fillId="9" borderId="122" xfId="7" applyFont="1" applyFill="1" applyBorder="1" applyAlignment="1">
      <alignment vertical="center" shrinkToFit="1"/>
    </xf>
    <xf numFmtId="38" fontId="24" fillId="0" borderId="0" xfId="8" applyFont="1">
      <alignment vertical="center"/>
    </xf>
    <xf numFmtId="0" fontId="22" fillId="0" borderId="123" xfId="7" applyFont="1" applyBorder="1" applyAlignment="1">
      <alignment vertical="center" shrinkToFit="1"/>
    </xf>
    <xf numFmtId="0" fontId="22" fillId="0" borderId="124" xfId="7" applyFont="1" applyBorder="1" applyAlignment="1">
      <alignment vertical="center" shrinkToFit="1"/>
    </xf>
    <xf numFmtId="0" fontId="22" fillId="0" borderId="125" xfId="7" applyFont="1" applyBorder="1" applyAlignment="1">
      <alignment vertical="center" shrinkToFit="1"/>
    </xf>
    <xf numFmtId="180" fontId="22" fillId="0" borderId="123" xfId="7" applyNumberFormat="1" applyFont="1" applyBorder="1">
      <alignment vertical="center"/>
    </xf>
    <xf numFmtId="180" fontId="22" fillId="0" borderId="124" xfId="7" applyNumberFormat="1" applyFont="1" applyBorder="1">
      <alignment vertical="center"/>
    </xf>
    <xf numFmtId="183" fontId="22" fillId="0" borderId="123" xfId="8" applyNumberFormat="1" applyFont="1" applyFill="1" applyBorder="1" applyAlignment="1">
      <alignment vertical="center" shrinkToFit="1"/>
    </xf>
    <xf numFmtId="183" fontId="22" fillId="0" borderId="125" xfId="8" applyNumberFormat="1" applyFont="1" applyFill="1" applyBorder="1" applyAlignment="1">
      <alignment vertical="center" shrinkToFit="1"/>
    </xf>
    <xf numFmtId="183" fontId="22" fillId="0" borderId="124" xfId="8" applyNumberFormat="1" applyFont="1" applyFill="1" applyBorder="1" applyAlignment="1">
      <alignment vertical="center" shrinkToFit="1"/>
    </xf>
    <xf numFmtId="185" fontId="22" fillId="5" borderId="1" xfId="7" applyNumberFormat="1" applyFont="1" applyFill="1" applyBorder="1" applyAlignment="1">
      <alignment horizontal="right" vertical="center" shrinkToFit="1"/>
    </xf>
    <xf numFmtId="183" fontId="22" fillId="0" borderId="1" xfId="7" applyNumberFormat="1" applyFont="1" applyBorder="1" applyAlignment="1">
      <alignment vertical="center" shrinkToFit="1"/>
    </xf>
    <xf numFmtId="180" fontId="22" fillId="5" borderId="1" xfId="7" applyNumberFormat="1" applyFont="1" applyFill="1" applyBorder="1" applyAlignment="1">
      <alignment vertical="center" wrapText="1"/>
    </xf>
    <xf numFmtId="181" fontId="22" fillId="5" borderId="1" xfId="7" applyNumberFormat="1" applyFont="1" applyFill="1" applyBorder="1" applyAlignment="1">
      <alignment vertical="center" shrinkToFit="1"/>
    </xf>
    <xf numFmtId="0" fontId="22" fillId="0" borderId="126" xfId="9" applyFont="1" applyBorder="1" applyAlignment="1">
      <alignment horizontal="center" vertical="center"/>
    </xf>
    <xf numFmtId="0" fontId="22" fillId="0" borderId="25" xfId="9" applyFont="1" applyBorder="1" applyAlignment="1">
      <alignment horizontal="center" vertical="center"/>
    </xf>
    <xf numFmtId="0" fontId="22" fillId="0" borderId="130" xfId="9" applyFont="1" applyBorder="1" applyAlignment="1">
      <alignment horizontal="center" vertical="center"/>
    </xf>
    <xf numFmtId="0" fontId="22" fillId="9" borderId="12" xfId="7" applyFont="1" applyFill="1" applyBorder="1" applyAlignment="1">
      <alignment vertical="center" shrinkToFit="1"/>
    </xf>
    <xf numFmtId="0" fontId="22" fillId="9" borderId="0" xfId="7" applyFont="1" applyFill="1" applyAlignment="1">
      <alignment vertical="center" shrinkToFit="1"/>
    </xf>
    <xf numFmtId="0" fontId="22" fillId="9" borderId="11" xfId="7" applyFont="1" applyFill="1" applyBorder="1" applyAlignment="1">
      <alignment vertical="center" shrinkToFit="1"/>
    </xf>
    <xf numFmtId="0" fontId="22" fillId="0" borderId="123" xfId="9" applyFont="1" applyBorder="1" applyAlignment="1">
      <alignment vertical="center" shrinkToFit="1"/>
    </xf>
    <xf numFmtId="0" fontId="22" fillId="0" borderId="124" xfId="9" applyFont="1" applyBorder="1" applyAlignment="1">
      <alignment vertical="center" shrinkToFit="1"/>
    </xf>
    <xf numFmtId="0" fontId="22" fillId="0" borderId="125" xfId="9" applyFont="1" applyBorder="1" applyAlignment="1">
      <alignment vertical="center" shrinkToFit="1"/>
    </xf>
    <xf numFmtId="180" fontId="22" fillId="0" borderId="1" xfId="7" applyNumberFormat="1" applyFont="1" applyBorder="1" applyAlignment="1">
      <alignment horizontal="center" vertical="center"/>
    </xf>
    <xf numFmtId="0" fontId="22" fillId="0" borderId="1" xfId="9" applyFont="1" applyBorder="1" applyAlignment="1">
      <alignment horizontal="center" vertical="center"/>
    </xf>
    <xf numFmtId="183" fontId="18" fillId="0" borderId="0" xfId="8" applyNumberFormat="1" applyFont="1" applyBorder="1">
      <alignment vertical="center"/>
    </xf>
    <xf numFmtId="183" fontId="18" fillId="0" borderId="8" xfId="8" applyNumberFormat="1" applyFont="1" applyBorder="1">
      <alignment vertical="center"/>
    </xf>
    <xf numFmtId="0" fontId="22" fillId="0" borderId="9" xfId="9" applyFont="1" applyBorder="1" applyAlignment="1">
      <alignment vertical="center" shrinkToFit="1"/>
    </xf>
    <xf numFmtId="180" fontId="22" fillId="0" borderId="9" xfId="7" applyNumberFormat="1" applyFont="1" applyBorder="1">
      <alignment vertical="center"/>
    </xf>
    <xf numFmtId="180" fontId="22" fillId="0" borderId="5" xfId="7" applyNumberFormat="1" applyFont="1" applyBorder="1">
      <alignment vertical="center"/>
    </xf>
    <xf numFmtId="183" fontId="22" fillId="0" borderId="9" xfId="8" applyNumberFormat="1" applyFont="1" applyFill="1" applyBorder="1" applyAlignment="1">
      <alignment vertical="center" shrinkToFit="1"/>
    </xf>
    <xf numFmtId="183" fontId="22" fillId="0" borderId="10" xfId="8" applyNumberFormat="1" applyFont="1" applyFill="1" applyBorder="1" applyAlignment="1">
      <alignment vertical="center" shrinkToFit="1"/>
    </xf>
    <xf numFmtId="183" fontId="22" fillId="0" borderId="5" xfId="8" applyNumberFormat="1" applyFont="1" applyFill="1" applyBorder="1" applyAlignment="1">
      <alignment vertical="center" shrinkToFit="1"/>
    </xf>
    <xf numFmtId="178" fontId="21" fillId="0" borderId="9" xfId="9" applyNumberFormat="1" applyFont="1" applyBorder="1" applyAlignment="1">
      <alignment horizontal="center" vertical="center" shrinkToFit="1"/>
    </xf>
    <xf numFmtId="178" fontId="21" fillId="0" borderId="10" xfId="9" applyNumberFormat="1" applyFont="1" applyBorder="1" applyAlignment="1">
      <alignment horizontal="center" vertical="center" shrinkToFit="1"/>
    </xf>
    <xf numFmtId="178" fontId="21" fillId="0" borderId="2" xfId="9" applyNumberFormat="1" applyFont="1" applyBorder="1" applyAlignment="1">
      <alignment horizontal="center" vertical="center" shrinkToFit="1"/>
    </xf>
    <xf numFmtId="178" fontId="21" fillId="0" borderId="3" xfId="9" applyNumberFormat="1" applyFont="1" applyBorder="1" applyAlignment="1">
      <alignment horizontal="center" vertical="center" shrinkToFit="1"/>
    </xf>
    <xf numFmtId="0" fontId="21" fillId="0" borderId="9" xfId="9" applyFont="1" applyBorder="1" applyAlignment="1">
      <alignment horizontal="center" vertical="center"/>
    </xf>
    <xf numFmtId="0" fontId="21" fillId="0" borderId="5" xfId="9" applyFont="1" applyBorder="1" applyAlignment="1">
      <alignment horizontal="center" vertical="center"/>
    </xf>
    <xf numFmtId="0" fontId="21" fillId="0" borderId="10" xfId="9" applyFont="1" applyBorder="1" applyAlignment="1">
      <alignment horizontal="center" vertical="center"/>
    </xf>
    <xf numFmtId="0" fontId="22" fillId="0" borderId="10" xfId="9" applyFont="1" applyBorder="1" applyAlignment="1">
      <alignment horizontal="center" vertical="center"/>
    </xf>
    <xf numFmtId="0" fontId="17" fillId="0" borderId="0" xfId="9" applyFont="1" applyAlignment="1">
      <alignment horizontal="left" vertical="top"/>
    </xf>
    <xf numFmtId="0" fontId="22" fillId="0" borderId="1" xfId="9" applyFont="1" applyBorder="1" applyAlignment="1">
      <alignment horizontal="distributed" vertical="center"/>
    </xf>
    <xf numFmtId="0" fontId="24" fillId="0" borderId="2" xfId="9" applyFont="1" applyBorder="1" applyAlignment="1">
      <alignment horizontal="left" vertical="center" indent="1" shrinkToFit="1"/>
    </xf>
    <xf numFmtId="0" fontId="24" fillId="0" borderId="4" xfId="9" applyFont="1" applyBorder="1" applyAlignment="1">
      <alignment horizontal="left" vertical="center" indent="1" shrinkToFit="1"/>
    </xf>
    <xf numFmtId="0" fontId="24" fillId="0" borderId="8" xfId="9" applyFont="1" applyBorder="1" applyAlignment="1">
      <alignment horizontal="left" vertical="center" indent="1" shrinkToFit="1"/>
    </xf>
    <xf numFmtId="0" fontId="24" fillId="0" borderId="7" xfId="9" applyFont="1" applyBorder="1" applyAlignment="1">
      <alignment horizontal="left" vertical="center" indent="1" shrinkToFit="1"/>
    </xf>
    <xf numFmtId="0" fontId="21" fillId="0" borderId="12" xfId="9" applyFont="1" applyBorder="1" applyAlignment="1">
      <alignment horizontal="right" vertical="center"/>
    </xf>
    <xf numFmtId="0" fontId="21" fillId="0" borderId="0" xfId="9" applyFont="1" applyAlignment="1">
      <alignment horizontal="right" vertical="center"/>
    </xf>
    <xf numFmtId="58" fontId="24" fillId="0" borderId="0" xfId="9" applyNumberFormat="1" applyFont="1" applyAlignment="1">
      <alignment horizontal="center" vertical="center"/>
    </xf>
    <xf numFmtId="0" fontId="21" fillId="0" borderId="0" xfId="9" applyFont="1" applyAlignment="1">
      <alignment horizontal="center" vertical="center"/>
    </xf>
    <xf numFmtId="0" fontId="12" fillId="3" borderId="0" xfId="3" applyFont="1" applyFill="1" applyAlignment="1">
      <alignment horizontal="left" vertical="center" wrapText="1"/>
    </xf>
    <xf numFmtId="0" fontId="12" fillId="3" borderId="0" xfId="3" applyFont="1" applyFill="1" applyAlignment="1">
      <alignment horizontal="centerContinuous" vertical="center"/>
    </xf>
  </cellXfs>
  <cellStyles count="10">
    <cellStyle name="桁区切り 2" xfId="4" xr:uid="{CB6B32CE-CDDC-4D16-B76B-310BF995FF8C}"/>
    <cellStyle name="桁区切り 3" xfId="8" xr:uid="{AC66C284-8289-4019-80C6-E6877FC4C5C7}"/>
    <cellStyle name="標準" xfId="0" builtinId="0"/>
    <cellStyle name="標準 2" xfId="1" xr:uid="{DF69D98A-9108-42B3-BCF8-FE43C0AA255A}"/>
    <cellStyle name="標準 2 2" xfId="2" xr:uid="{D16F8C99-5F26-4D31-ABE5-99DB5F414A6C}"/>
    <cellStyle name="標準 2 3" xfId="5" xr:uid="{29C55898-BFF4-4C80-A192-6D059CEEE7F5}"/>
    <cellStyle name="標準 3" xfId="3" xr:uid="{78E2B49A-88F1-4269-B6D6-27AEEBDBFD72}"/>
    <cellStyle name="標準 3 2" xfId="9" xr:uid="{C11B90CC-97B6-46CB-8E85-AFD9097A173F}"/>
    <cellStyle name="標準 4" xfId="6" xr:uid="{04DDE107-B5F4-476B-ACB1-73B575793751}"/>
    <cellStyle name="標準 5" xfId="7" xr:uid="{88E6EE74-4195-469A-B302-1E97477B3B7A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46383</xdr:colOff>
      <xdr:row>0</xdr:row>
      <xdr:rowOff>33131</xdr:rowOff>
    </xdr:from>
    <xdr:to>
      <xdr:col>1</xdr:col>
      <xdr:colOff>39756</xdr:colOff>
      <xdr:row>0</xdr:row>
      <xdr:rowOff>526997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26FEEE6-AD57-8416-4823-F2AA0C60E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3" y="33131"/>
          <a:ext cx="490330" cy="4938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190500</xdr:colOff>
          <xdr:row>16</xdr:row>
          <xdr:rowOff>190500</xdr:rowOff>
        </xdr:from>
        <xdr:to>
          <xdr:col>39</xdr:col>
          <xdr:colOff>289560</xdr:colOff>
          <xdr:row>20</xdr:row>
          <xdr:rowOff>68580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27432" rIns="54864" bIns="27432" anchor="ctr" upright="1"/>
            <a:lstStyle/>
            <a:p>
              <a:pPr algn="ctr" rtl="0">
                <a:defRPr sz="1000"/>
              </a:pPr>
              <a:r>
                <a:rPr lang="ja-JP" altLang="en-US" sz="1800" b="0" i="0" u="none" strike="noStrike" baseline="0">
                  <a:solidFill>
                    <a:srgbClr val="000000"/>
                  </a:solidFill>
                  <a:latin typeface="HGP創英角ﾎﾟｯﾌﾟ体"/>
                  <a:ea typeface="HGP創英角ﾎﾟｯﾌﾟ体"/>
                </a:rPr>
                <a:t>リセット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2EBC3-B4BA-4F5F-B608-6BD52F7411D5}">
  <sheetPr>
    <tabColor rgb="FFFFC000"/>
    <pageSetUpPr fitToPage="1"/>
  </sheetPr>
  <dimension ref="A1:O101"/>
  <sheetViews>
    <sheetView tabSelected="1" zoomScale="70" zoomScaleNormal="70" workbookViewId="0">
      <pane ySplit="2" topLeftCell="A3" activePane="bottomLeft" state="frozen"/>
      <selection pane="bottomLeft" activeCell="C7" sqref="C7:D7"/>
    </sheetView>
  </sheetViews>
  <sheetFormatPr defaultColWidth="9" defaultRowHeight="16.2" x14ac:dyDescent="0.2"/>
  <cols>
    <col min="1" max="1" width="6.5" style="1" customWidth="1"/>
    <col min="2" max="13" width="10" style="1" customWidth="1"/>
    <col min="14" max="14" width="6.5" style="1" customWidth="1"/>
    <col min="15" max="18" width="10.5" style="1" customWidth="1"/>
    <col min="19" max="16384" width="9" style="1"/>
  </cols>
  <sheetData>
    <row r="1" spans="1:15" ht="42.75" customHeight="1" x14ac:dyDescent="0.2">
      <c r="A1" s="2"/>
      <c r="B1" s="206" t="s">
        <v>84</v>
      </c>
      <c r="C1" s="21"/>
      <c r="D1" s="21"/>
      <c r="E1" s="21"/>
      <c r="F1" s="21"/>
      <c r="G1" s="22"/>
      <c r="H1" s="2"/>
      <c r="I1" s="2"/>
      <c r="J1" s="207" t="s">
        <v>16</v>
      </c>
      <c r="K1" s="214">
        <f>計算シート!AN39</f>
        <v>0</v>
      </c>
      <c r="L1" s="214"/>
      <c r="M1" s="214"/>
      <c r="N1" s="2"/>
    </row>
    <row r="2" spans="1:15" ht="60" customHeight="1" x14ac:dyDescent="0.2">
      <c r="A2" s="570" t="s">
        <v>169</v>
      </c>
      <c r="B2" s="570"/>
      <c r="C2" s="570"/>
      <c r="D2" s="570"/>
      <c r="E2" s="570"/>
      <c r="F2" s="570"/>
      <c r="G2" s="570"/>
      <c r="H2" s="571" t="s">
        <v>156</v>
      </c>
      <c r="I2" s="215">
        <f>計算シート!AN35</f>
        <v>0</v>
      </c>
      <c r="J2" s="215"/>
      <c r="K2" s="571" t="s">
        <v>157</v>
      </c>
      <c r="L2" s="215">
        <f>計算シート!AN37</f>
        <v>0</v>
      </c>
      <c r="M2" s="215"/>
      <c r="N2" s="2"/>
      <c r="O2" s="20"/>
    </row>
    <row r="3" spans="1:15" ht="21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21.75" customHeight="1" x14ac:dyDescent="0.2">
      <c r="A4" s="2"/>
      <c r="B4" s="11" t="s">
        <v>15</v>
      </c>
      <c r="C4" s="212" t="s">
        <v>8</v>
      </c>
      <c r="D4" s="10"/>
      <c r="E4" s="10"/>
      <c r="F4" s="10"/>
      <c r="G4" s="10"/>
      <c r="H4" s="10"/>
      <c r="I4" s="10"/>
      <c r="J4" s="10"/>
      <c r="K4" s="10"/>
      <c r="L4" s="10"/>
      <c r="M4" s="9"/>
      <c r="N4" s="2"/>
    </row>
    <row r="5" spans="1:15" ht="21.75" customHeight="1" x14ac:dyDescent="0.2">
      <c r="A5" s="2"/>
      <c r="B5" s="8"/>
      <c r="C5" s="7" t="s">
        <v>79</v>
      </c>
      <c r="D5" s="7"/>
      <c r="E5" s="7"/>
      <c r="F5" s="7"/>
      <c r="G5" s="7"/>
      <c r="H5" s="7"/>
      <c r="I5" s="7"/>
      <c r="J5" s="7"/>
      <c r="K5" s="7"/>
      <c r="L5" s="7"/>
      <c r="M5" s="6"/>
      <c r="N5" s="2"/>
    </row>
    <row r="6" spans="1:15" ht="21.75" customHeight="1" thickBot="1" x14ac:dyDescent="0.25">
      <c r="A6" s="2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6"/>
      <c r="N6" s="2"/>
    </row>
    <row r="7" spans="1:15" ht="21.75" customHeight="1" thickBot="1" x14ac:dyDescent="0.25">
      <c r="A7" s="2"/>
      <c r="B7" s="8"/>
      <c r="C7" s="218" t="s">
        <v>167</v>
      </c>
      <c r="D7" s="219"/>
      <c r="E7" s="7"/>
      <c r="F7" s="220" t="s">
        <v>168</v>
      </c>
      <c r="G7" s="221"/>
      <c r="H7" s="7"/>
      <c r="I7" s="7"/>
      <c r="J7" s="7"/>
      <c r="K7" s="7"/>
      <c r="L7" s="7"/>
      <c r="M7" s="6"/>
      <c r="N7" s="2"/>
    </row>
    <row r="8" spans="1:15" ht="21.75" customHeight="1" x14ac:dyDescent="0.2">
      <c r="A8" s="2"/>
      <c r="B8" s="8"/>
      <c r="C8" s="7"/>
      <c r="D8" s="7"/>
      <c r="E8" s="7"/>
      <c r="F8" s="7"/>
      <c r="G8" s="7"/>
      <c r="H8" s="7"/>
      <c r="I8" s="7"/>
      <c r="J8" s="7"/>
      <c r="K8" s="7"/>
      <c r="L8" s="7"/>
      <c r="M8" s="6"/>
      <c r="N8" s="2"/>
    </row>
    <row r="9" spans="1:15" ht="21.75" customHeight="1" thickBot="1" x14ac:dyDescent="0.25">
      <c r="A9" s="2"/>
      <c r="B9" s="39" t="s">
        <v>83</v>
      </c>
      <c r="C9" s="235">
        <v>46117</v>
      </c>
      <c r="D9" s="235"/>
      <c r="E9" s="7"/>
      <c r="F9" s="235">
        <v>46119</v>
      </c>
      <c r="G9" s="235"/>
      <c r="H9" s="7"/>
      <c r="I9" s="7"/>
      <c r="J9" s="7"/>
      <c r="K9" s="7"/>
      <c r="L9" s="7"/>
      <c r="M9" s="35"/>
      <c r="N9" s="2"/>
    </row>
    <row r="10" spans="1:15" ht="21.75" customHeight="1" x14ac:dyDescent="0.2">
      <c r="A10" s="2"/>
      <c r="B10" s="8"/>
      <c r="C10" s="222">
        <v>46147</v>
      </c>
      <c r="D10" s="223"/>
      <c r="E10" s="226" t="s">
        <v>80</v>
      </c>
      <c r="F10" s="228">
        <v>46148</v>
      </c>
      <c r="G10" s="228"/>
      <c r="H10" s="230">
        <f>IF(C10="","",(F10-C10))</f>
        <v>1</v>
      </c>
      <c r="I10" s="232" t="s">
        <v>81</v>
      </c>
      <c r="J10" s="230">
        <f>IF(F10="","",(F10-C10)+1)</f>
        <v>2</v>
      </c>
      <c r="K10" s="216" t="s">
        <v>82</v>
      </c>
      <c r="L10" s="123"/>
      <c r="M10" s="35"/>
      <c r="N10" s="33"/>
      <c r="O10" s="34"/>
    </row>
    <row r="11" spans="1:15" ht="21.75" customHeight="1" thickBot="1" x14ac:dyDescent="0.25">
      <c r="A11" s="2"/>
      <c r="B11" s="8"/>
      <c r="C11" s="224"/>
      <c r="D11" s="225"/>
      <c r="E11" s="227"/>
      <c r="F11" s="229"/>
      <c r="G11" s="229"/>
      <c r="H11" s="231"/>
      <c r="I11" s="233"/>
      <c r="J11" s="231"/>
      <c r="K11" s="217"/>
      <c r="L11" s="123"/>
      <c r="M11" s="35"/>
      <c r="N11" s="33"/>
      <c r="O11" s="34"/>
    </row>
    <row r="12" spans="1:15" ht="21.75" customHeight="1" x14ac:dyDescent="0.2">
      <c r="A12" s="2"/>
      <c r="B12" s="36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8"/>
      <c r="N12" s="2"/>
    </row>
    <row r="13" spans="1:15" ht="21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ht="21.7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5" ht="18.75" customHeight="1" x14ac:dyDescent="0.2">
      <c r="A15" s="2"/>
      <c r="B15" s="11" t="s">
        <v>85</v>
      </c>
      <c r="C15" s="212" t="s">
        <v>8</v>
      </c>
      <c r="D15" s="10"/>
      <c r="E15" s="10"/>
      <c r="F15" s="10"/>
      <c r="G15" s="10"/>
      <c r="H15" s="10"/>
      <c r="I15" s="10"/>
      <c r="J15" s="10"/>
      <c r="K15" s="10"/>
      <c r="L15" s="10"/>
      <c r="M15" s="9"/>
      <c r="N15" s="2"/>
    </row>
    <row r="16" spans="1:15" x14ac:dyDescent="0.2">
      <c r="A16" s="2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  <c r="N16" s="2"/>
    </row>
    <row r="17" spans="1:14" x14ac:dyDescent="0.2">
      <c r="A17" s="2"/>
      <c r="B17" s="8"/>
      <c r="C17" s="7" t="s">
        <v>14</v>
      </c>
      <c r="D17" s="7"/>
      <c r="E17" s="7"/>
      <c r="F17" s="7"/>
      <c r="G17" s="7"/>
      <c r="H17" s="7"/>
      <c r="I17" s="7"/>
      <c r="J17" s="7"/>
      <c r="K17" s="7"/>
      <c r="L17" s="7"/>
      <c r="M17" s="6"/>
      <c r="N17" s="2"/>
    </row>
    <row r="18" spans="1:14" x14ac:dyDescent="0.2">
      <c r="A18" s="2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6"/>
      <c r="N18" s="2"/>
    </row>
    <row r="19" spans="1:14" x14ac:dyDescent="0.2">
      <c r="A19" s="2"/>
      <c r="B19" s="8"/>
      <c r="C19" s="7" t="s">
        <v>86</v>
      </c>
      <c r="D19" s="7"/>
      <c r="E19" s="7"/>
      <c r="F19" s="7"/>
      <c r="G19" s="7"/>
      <c r="H19" s="7"/>
      <c r="I19" s="7" t="s">
        <v>13</v>
      </c>
      <c r="J19" s="16"/>
      <c r="K19" s="16"/>
      <c r="L19" s="16"/>
      <c r="M19" s="6"/>
      <c r="N19" s="2"/>
    </row>
    <row r="20" spans="1:14" x14ac:dyDescent="0.2">
      <c r="A20" s="2"/>
      <c r="B20" s="8"/>
      <c r="C20" s="7"/>
      <c r="D20" s="7"/>
      <c r="E20" s="7"/>
      <c r="F20" s="7"/>
      <c r="G20" s="7"/>
      <c r="H20" s="7"/>
      <c r="I20" s="7"/>
      <c r="J20" s="16"/>
      <c r="K20" s="16"/>
      <c r="L20" s="16"/>
      <c r="M20" s="6"/>
      <c r="N20" s="2"/>
    </row>
    <row r="21" spans="1:14" ht="24.75" customHeight="1" x14ac:dyDescent="0.2">
      <c r="A21" s="2"/>
      <c r="B21" s="8"/>
      <c r="C21" s="7" t="s">
        <v>88</v>
      </c>
      <c r="D21" s="7"/>
      <c r="E21" s="7"/>
      <c r="F21" s="7"/>
      <c r="G21" s="7"/>
      <c r="H21" s="7"/>
      <c r="I21" s="209">
        <v>0</v>
      </c>
      <c r="J21" s="7" t="s">
        <v>10</v>
      </c>
      <c r="K21" s="7"/>
      <c r="L21" s="7"/>
      <c r="M21" s="6"/>
      <c r="N21" s="2"/>
    </row>
    <row r="22" spans="1:14" x14ac:dyDescent="0.2">
      <c r="A22" s="2"/>
      <c r="B22" s="8"/>
      <c r="C22" s="19" t="s">
        <v>12</v>
      </c>
      <c r="D22" s="7"/>
      <c r="E22" s="7"/>
      <c r="F22" s="7"/>
      <c r="G22" s="7"/>
      <c r="H22" s="7"/>
      <c r="I22" s="7"/>
      <c r="J22" s="7"/>
      <c r="K22" s="7"/>
      <c r="L22" s="7"/>
      <c r="M22" s="6"/>
      <c r="N22" s="2"/>
    </row>
    <row r="23" spans="1:14" ht="24.75" customHeight="1" x14ac:dyDescent="0.2">
      <c r="A23" s="2"/>
      <c r="B23" s="8"/>
      <c r="C23" s="7" t="s">
        <v>139</v>
      </c>
      <c r="D23" s="7"/>
      <c r="E23" s="7"/>
      <c r="F23" s="40">
        <f>計算シート!AM27</f>
        <v>900</v>
      </c>
      <c r="G23" s="7"/>
      <c r="H23" s="7"/>
      <c r="I23" s="209">
        <v>0</v>
      </c>
      <c r="J23" s="7" t="s">
        <v>10</v>
      </c>
      <c r="K23" s="7"/>
      <c r="L23" s="7"/>
      <c r="M23" s="6"/>
      <c r="N23" s="2"/>
    </row>
    <row r="24" spans="1:14" ht="10.95" customHeight="1" x14ac:dyDescent="0.2">
      <c r="A24" s="2"/>
      <c r="B24" s="8"/>
      <c r="C24" s="19"/>
      <c r="D24" s="7"/>
      <c r="E24" s="7"/>
      <c r="F24" s="7"/>
      <c r="G24" s="7"/>
      <c r="H24" s="7"/>
      <c r="I24" s="7"/>
      <c r="J24" s="7"/>
      <c r="K24" s="7"/>
      <c r="L24" s="7"/>
      <c r="M24" s="6"/>
      <c r="N24" s="2"/>
    </row>
    <row r="25" spans="1:14" ht="24.75" customHeight="1" x14ac:dyDescent="0.2">
      <c r="A25" s="2"/>
      <c r="B25" s="8"/>
      <c r="C25" s="7" t="s">
        <v>140</v>
      </c>
      <c r="D25" s="7"/>
      <c r="E25" s="40">
        <f>計算シート!AM27</f>
        <v>900</v>
      </c>
      <c r="F25" s="7"/>
      <c r="G25" s="7"/>
      <c r="H25" s="7"/>
      <c r="I25" s="209">
        <v>0</v>
      </c>
      <c r="J25" s="7" t="s">
        <v>10</v>
      </c>
      <c r="K25" s="7"/>
      <c r="L25" s="7"/>
      <c r="M25" s="6"/>
      <c r="N25" s="2"/>
    </row>
    <row r="26" spans="1:14" ht="10.95" customHeight="1" x14ac:dyDescent="0.2">
      <c r="A26" s="2"/>
      <c r="B26" s="8"/>
      <c r="C26" s="19"/>
      <c r="D26" s="7"/>
      <c r="E26" s="7"/>
      <c r="F26" s="7"/>
      <c r="G26" s="7"/>
      <c r="H26" s="7"/>
      <c r="I26" s="7"/>
      <c r="J26" s="7"/>
      <c r="K26" s="7"/>
      <c r="L26" s="7"/>
      <c r="M26" s="6"/>
      <c r="N26" s="2"/>
    </row>
    <row r="27" spans="1:14" ht="24.75" customHeight="1" x14ac:dyDescent="0.2">
      <c r="A27" s="2"/>
      <c r="B27" s="8"/>
      <c r="C27" s="7" t="s">
        <v>141</v>
      </c>
      <c r="D27" s="7"/>
      <c r="E27" s="40">
        <f>計算シート!AM27</f>
        <v>900</v>
      </c>
      <c r="F27" s="7"/>
      <c r="G27" s="7"/>
      <c r="H27" s="7"/>
      <c r="I27" s="209">
        <v>0</v>
      </c>
      <c r="J27" s="7" t="s">
        <v>10</v>
      </c>
      <c r="K27" s="7"/>
      <c r="L27" s="7"/>
      <c r="M27" s="6"/>
      <c r="N27" s="2"/>
    </row>
    <row r="28" spans="1:14" ht="10.95" customHeight="1" x14ac:dyDescent="0.2">
      <c r="A28" s="2"/>
      <c r="B28" s="8"/>
      <c r="C28" s="19"/>
      <c r="D28" s="7"/>
      <c r="E28" s="7"/>
      <c r="F28" s="7"/>
      <c r="G28" s="7"/>
      <c r="H28" s="7"/>
      <c r="I28" s="7"/>
      <c r="J28" s="7"/>
      <c r="K28" s="7"/>
      <c r="L28" s="7"/>
      <c r="M28" s="6"/>
      <c r="N28" s="2"/>
    </row>
    <row r="29" spans="1:14" ht="24.6" customHeight="1" x14ac:dyDescent="0.2">
      <c r="A29" s="2"/>
      <c r="B29" s="8"/>
      <c r="C29" s="7" t="s">
        <v>87</v>
      </c>
      <c r="D29" s="7"/>
      <c r="E29" s="7"/>
      <c r="F29" s="7"/>
      <c r="G29" s="40">
        <f>計算シート!AM28</f>
        <v>1200</v>
      </c>
      <c r="H29" s="7"/>
      <c r="I29" s="209">
        <v>0</v>
      </c>
      <c r="J29" s="7" t="s">
        <v>10</v>
      </c>
      <c r="K29" s="7"/>
      <c r="L29" s="7"/>
      <c r="M29" s="6"/>
      <c r="N29" s="2"/>
    </row>
    <row r="30" spans="1:14" ht="11.25" customHeight="1" x14ac:dyDescent="0.2">
      <c r="A30" s="2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6"/>
      <c r="N30" s="2"/>
    </row>
    <row r="31" spans="1:14" ht="24.75" customHeight="1" x14ac:dyDescent="0.2">
      <c r="A31" s="2"/>
      <c r="B31" s="8"/>
      <c r="C31" s="7" t="s">
        <v>161</v>
      </c>
      <c r="D31" s="7"/>
      <c r="E31" s="40">
        <f>計算シート!AM29</f>
        <v>1200</v>
      </c>
      <c r="F31" s="7"/>
      <c r="G31" s="7"/>
      <c r="H31" s="7"/>
      <c r="I31" s="209">
        <v>0</v>
      </c>
      <c r="J31" s="7" t="s">
        <v>10</v>
      </c>
      <c r="K31" s="7"/>
      <c r="L31" s="7"/>
      <c r="M31" s="6"/>
      <c r="N31" s="2"/>
    </row>
    <row r="32" spans="1:14" ht="11.25" customHeight="1" x14ac:dyDescent="0.2">
      <c r="A32" s="2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6"/>
      <c r="N32" s="2"/>
    </row>
    <row r="33" spans="1:14" ht="24.75" customHeight="1" x14ac:dyDescent="0.2">
      <c r="A33" s="2"/>
      <c r="B33" s="8"/>
      <c r="C33" s="7" t="s">
        <v>162</v>
      </c>
      <c r="D33" s="7"/>
      <c r="E33" s="40">
        <f>計算シート!AM30</f>
        <v>1200</v>
      </c>
      <c r="F33" s="7"/>
      <c r="G33" s="7"/>
      <c r="H33" s="7"/>
      <c r="I33" s="209">
        <v>0</v>
      </c>
      <c r="J33" s="7" t="s">
        <v>10</v>
      </c>
      <c r="K33" s="7"/>
      <c r="L33" s="7"/>
      <c r="M33" s="6"/>
      <c r="N33" s="2"/>
    </row>
    <row r="34" spans="1:14" ht="11.25" customHeight="1" x14ac:dyDescent="0.2">
      <c r="A34" s="2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6"/>
      <c r="N34" s="2"/>
    </row>
    <row r="35" spans="1:14" x14ac:dyDescent="0.2">
      <c r="A35" s="2"/>
      <c r="B35" s="8"/>
      <c r="C35" s="7"/>
      <c r="D35" s="7"/>
      <c r="E35" s="7"/>
      <c r="F35" s="7"/>
      <c r="G35" s="7"/>
      <c r="H35" s="7" t="s">
        <v>11</v>
      </c>
      <c r="I35" s="7">
        <f>SUM(I23,I25,I27,I29,I31,I33,I21,)</f>
        <v>0</v>
      </c>
      <c r="J35" s="7" t="s">
        <v>10</v>
      </c>
      <c r="K35" s="7"/>
      <c r="L35" s="7"/>
      <c r="M35" s="6"/>
      <c r="N35" s="2"/>
    </row>
    <row r="36" spans="1:14" x14ac:dyDescent="0.2">
      <c r="A36" s="2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6"/>
      <c r="N36" s="2"/>
    </row>
    <row r="37" spans="1:14" x14ac:dyDescent="0.2">
      <c r="A37" s="2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3"/>
      <c r="N37" s="2"/>
    </row>
    <row r="38" spans="1:14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x14ac:dyDescent="0.2">
      <c r="A40" s="2"/>
      <c r="B40" s="11" t="s">
        <v>9</v>
      </c>
      <c r="C40" s="212" t="s">
        <v>8</v>
      </c>
      <c r="D40" s="10"/>
      <c r="E40" s="10"/>
      <c r="F40" s="10"/>
      <c r="G40" s="10"/>
      <c r="H40" s="10"/>
      <c r="I40" s="10"/>
      <c r="J40" s="10"/>
      <c r="K40" s="10"/>
      <c r="L40" s="10"/>
      <c r="M40" s="9"/>
      <c r="N40" s="2"/>
    </row>
    <row r="41" spans="1:14" x14ac:dyDescent="0.2">
      <c r="A41" s="2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6"/>
      <c r="N41" s="2"/>
    </row>
    <row r="42" spans="1:14" x14ac:dyDescent="0.2">
      <c r="A42" s="2"/>
      <c r="B42" s="8"/>
      <c r="C42" s="7" t="s">
        <v>146</v>
      </c>
      <c r="D42" s="7"/>
      <c r="E42" s="7"/>
      <c r="F42" s="7"/>
      <c r="G42" s="7"/>
      <c r="H42" s="7"/>
      <c r="I42" s="7"/>
      <c r="J42" s="7"/>
      <c r="K42" s="7"/>
      <c r="L42" s="7"/>
      <c r="M42" s="6"/>
      <c r="N42" s="2"/>
    </row>
    <row r="43" spans="1:14" x14ac:dyDescent="0.2">
      <c r="A43" s="2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6"/>
      <c r="N43" s="2"/>
    </row>
    <row r="44" spans="1:14" x14ac:dyDescent="0.2">
      <c r="A44" s="2"/>
      <c r="B44" s="8"/>
      <c r="C44" s="236">
        <f>IF(C10="","",C10)</f>
        <v>46147</v>
      </c>
      <c r="D44" s="234"/>
      <c r="E44" s="213">
        <f>IF($H$10&gt;=1,C44+1,"")</f>
        <v>46148</v>
      </c>
      <c r="F44" s="213"/>
      <c r="G44" s="234"/>
      <c r="H44" s="213" t="str">
        <f>IF($H$10&gt;=2,E44+1,"--")</f>
        <v>--</v>
      </c>
      <c r="I44" s="213"/>
      <c r="J44" s="234"/>
      <c r="K44" s="213" t="str">
        <f>IF($H$10&gt;=3,H44+1,"--")</f>
        <v>--</v>
      </c>
      <c r="L44" s="213"/>
      <c r="M44" s="125"/>
      <c r="N44" s="2"/>
    </row>
    <row r="45" spans="1:14" x14ac:dyDescent="0.2">
      <c r="A45" s="2"/>
      <c r="B45" s="8"/>
      <c r="C45" s="18" t="s">
        <v>5</v>
      </c>
      <c r="D45" s="17" t="s">
        <v>7</v>
      </c>
      <c r="E45" s="16" t="s">
        <v>6</v>
      </c>
      <c r="F45" s="16" t="s">
        <v>5</v>
      </c>
      <c r="G45" s="17" t="s">
        <v>7</v>
      </c>
      <c r="H45" s="18" t="s">
        <v>6</v>
      </c>
      <c r="I45" s="16" t="s">
        <v>5</v>
      </c>
      <c r="J45" s="16" t="s">
        <v>142</v>
      </c>
      <c r="K45" s="124" t="s">
        <v>143</v>
      </c>
      <c r="L45" s="16" t="s">
        <v>144</v>
      </c>
      <c r="M45" s="125"/>
      <c r="N45" s="2"/>
    </row>
    <row r="46" spans="1:14" ht="9.75" customHeight="1" x14ac:dyDescent="0.2">
      <c r="A46" s="2"/>
      <c r="B46" s="8"/>
      <c r="C46" s="16"/>
      <c r="D46" s="16"/>
      <c r="E46" s="16"/>
      <c r="F46" s="16"/>
      <c r="G46" s="16"/>
      <c r="H46" s="16"/>
      <c r="I46" s="16"/>
      <c r="J46" s="16"/>
      <c r="K46" s="7"/>
      <c r="L46" s="7"/>
      <c r="M46" s="6"/>
      <c r="N46" s="2"/>
    </row>
    <row r="47" spans="1:14" ht="25.5" customHeight="1" x14ac:dyDescent="0.2">
      <c r="A47" s="2"/>
      <c r="B47" s="8"/>
      <c r="C47" s="210" t="s">
        <v>160</v>
      </c>
      <c r="D47" s="210" t="s">
        <v>160</v>
      </c>
      <c r="E47" s="210" t="s">
        <v>160</v>
      </c>
      <c r="F47" s="210" t="s">
        <v>160</v>
      </c>
      <c r="G47" s="210" t="s">
        <v>160</v>
      </c>
      <c r="H47" s="210" t="s">
        <v>160</v>
      </c>
      <c r="I47" s="210" t="s">
        <v>160</v>
      </c>
      <c r="J47" s="210" t="s">
        <v>160</v>
      </c>
      <c r="K47" s="210" t="s">
        <v>160</v>
      </c>
      <c r="L47" s="210" t="s">
        <v>160</v>
      </c>
      <c r="M47" s="6"/>
      <c r="N47" s="2"/>
    </row>
    <row r="48" spans="1:14" x14ac:dyDescent="0.2">
      <c r="A48" s="2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6"/>
      <c r="N48" s="2"/>
    </row>
    <row r="49" spans="1:14" x14ac:dyDescent="0.2">
      <c r="A49" s="2"/>
      <c r="B49" s="8"/>
      <c r="C49" s="7" t="s">
        <v>145</v>
      </c>
      <c r="D49" s="7"/>
      <c r="E49" s="7"/>
      <c r="F49" s="7"/>
      <c r="G49" s="7"/>
      <c r="H49" s="7"/>
      <c r="I49" s="7"/>
      <c r="J49" s="7"/>
      <c r="K49" s="7"/>
      <c r="L49" s="7"/>
      <c r="M49" s="6"/>
      <c r="N49" s="2"/>
    </row>
    <row r="50" spans="1:14" ht="16.8" thickBot="1" x14ac:dyDescent="0.25">
      <c r="A50" s="2"/>
      <c r="B50" s="8"/>
      <c r="C50" s="208" t="s">
        <v>159</v>
      </c>
      <c r="D50" s="169"/>
      <c r="E50" s="169"/>
      <c r="F50" s="169"/>
      <c r="G50" s="169"/>
      <c r="H50" s="169"/>
      <c r="I50" s="7"/>
      <c r="J50" s="7"/>
      <c r="K50" s="7"/>
      <c r="L50" s="7"/>
      <c r="M50" s="6"/>
      <c r="N50" s="2"/>
    </row>
    <row r="51" spans="1:14" ht="16.8" thickTop="1" x14ac:dyDescent="0.2">
      <c r="A51" s="2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6"/>
      <c r="N51" s="2"/>
    </row>
    <row r="52" spans="1:14" x14ac:dyDescent="0.2">
      <c r="A52" s="2"/>
      <c r="B52" s="5"/>
      <c r="C52" s="4"/>
      <c r="D52" s="4"/>
      <c r="E52" s="4"/>
      <c r="F52" s="4"/>
      <c r="G52" s="4"/>
      <c r="H52" s="4"/>
      <c r="I52" s="4"/>
      <c r="J52" s="4"/>
      <c r="K52" s="4"/>
      <c r="L52" s="4"/>
      <c r="M52" s="3"/>
      <c r="N52" s="2"/>
    </row>
    <row r="53" spans="1:14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">
      <c r="A55" s="2"/>
      <c r="B55" s="11" t="s">
        <v>4</v>
      </c>
      <c r="C55" s="211" t="s">
        <v>1</v>
      </c>
      <c r="D55" s="10"/>
      <c r="E55" s="10"/>
      <c r="F55" s="10"/>
      <c r="G55" s="10"/>
      <c r="H55" s="10"/>
      <c r="I55" s="10"/>
      <c r="J55" s="10"/>
      <c r="K55" s="10"/>
      <c r="L55" s="10"/>
      <c r="M55" s="9"/>
      <c r="N55" s="2"/>
    </row>
    <row r="56" spans="1:14" x14ac:dyDescent="0.2">
      <c r="A56" s="2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6"/>
      <c r="N56" s="2"/>
    </row>
    <row r="57" spans="1:14" x14ac:dyDescent="0.2">
      <c r="A57" s="2"/>
      <c r="B57" s="8"/>
      <c r="C57" s="7" t="s">
        <v>166</v>
      </c>
      <c r="D57" s="7"/>
      <c r="E57" s="7"/>
      <c r="F57" s="7"/>
      <c r="G57" s="7"/>
      <c r="H57" s="7"/>
      <c r="I57" s="7"/>
      <c r="J57" s="7"/>
      <c r="K57" s="7"/>
      <c r="L57" s="7"/>
      <c r="M57" s="6"/>
      <c r="N57" s="2"/>
    </row>
    <row r="58" spans="1:14" x14ac:dyDescent="0.2">
      <c r="A58" s="2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6"/>
      <c r="N58" s="2"/>
    </row>
    <row r="59" spans="1:14" ht="24.75" customHeight="1" x14ac:dyDescent="0.2">
      <c r="A59" s="2"/>
      <c r="B59" s="8"/>
      <c r="C59" s="7" t="s">
        <v>147</v>
      </c>
      <c r="D59" s="7"/>
      <c r="E59" s="7"/>
      <c r="F59" s="7"/>
      <c r="G59" s="7"/>
      <c r="H59" s="7"/>
      <c r="I59" s="127"/>
      <c r="J59" s="7" t="s">
        <v>3</v>
      </c>
      <c r="K59" s="7"/>
      <c r="L59" s="7"/>
      <c r="M59" s="6"/>
      <c r="N59" s="2"/>
    </row>
    <row r="60" spans="1:14" ht="11.25" customHeight="1" x14ac:dyDescent="0.2">
      <c r="A60" s="2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6"/>
      <c r="N60" s="2"/>
    </row>
    <row r="61" spans="1:14" ht="24.75" customHeight="1" x14ac:dyDescent="0.2">
      <c r="A61" s="2"/>
      <c r="B61" s="8"/>
      <c r="C61" s="7" t="s">
        <v>148</v>
      </c>
      <c r="D61" s="7"/>
      <c r="E61" s="7"/>
      <c r="F61" s="7"/>
      <c r="G61" s="7"/>
      <c r="H61" s="7"/>
      <c r="I61" s="127"/>
      <c r="J61" s="7" t="s">
        <v>3</v>
      </c>
      <c r="K61" s="7"/>
      <c r="L61" s="7"/>
      <c r="M61" s="6"/>
      <c r="N61" s="2"/>
    </row>
    <row r="62" spans="1:14" ht="11.25" customHeight="1" x14ac:dyDescent="0.2">
      <c r="A62" s="2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6"/>
      <c r="N62" s="2"/>
    </row>
    <row r="63" spans="1:14" ht="24.75" customHeight="1" x14ac:dyDescent="0.2">
      <c r="A63" s="2"/>
      <c r="B63" s="8"/>
      <c r="C63" s="7" t="s">
        <v>149</v>
      </c>
      <c r="D63" s="7"/>
      <c r="E63" s="7"/>
      <c r="F63" s="7"/>
      <c r="G63" s="7"/>
      <c r="H63" s="7"/>
      <c r="I63" s="7"/>
      <c r="J63" s="7"/>
      <c r="K63" s="7"/>
      <c r="L63" s="7"/>
      <c r="M63" s="6"/>
      <c r="N63" s="2"/>
    </row>
    <row r="64" spans="1:14" ht="11.25" customHeight="1" x14ac:dyDescent="0.2">
      <c r="A64" s="2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6"/>
      <c r="N64" s="2"/>
    </row>
    <row r="65" spans="1:14" ht="24.75" customHeight="1" x14ac:dyDescent="0.2">
      <c r="A65" s="2"/>
      <c r="B65" s="8"/>
      <c r="C65" s="7" t="s">
        <v>153</v>
      </c>
      <c r="D65" s="7"/>
      <c r="E65" s="7"/>
      <c r="F65" s="7"/>
      <c r="G65" s="7"/>
      <c r="H65" s="7"/>
      <c r="I65" s="127"/>
      <c r="J65" s="15" t="s">
        <v>2</v>
      </c>
      <c r="K65" s="15"/>
      <c r="L65" s="15"/>
      <c r="M65" s="6"/>
      <c r="N65" s="2"/>
    </row>
    <row r="66" spans="1:14" ht="10.95" customHeight="1" x14ac:dyDescent="0.2">
      <c r="A66" s="2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6"/>
      <c r="N66" s="2"/>
    </row>
    <row r="67" spans="1:14" ht="24.75" customHeight="1" x14ac:dyDescent="0.2">
      <c r="A67" s="2"/>
      <c r="B67" s="8"/>
      <c r="C67" s="7" t="s">
        <v>150</v>
      </c>
      <c r="D67" s="7"/>
      <c r="E67" s="7"/>
      <c r="F67" s="7"/>
      <c r="G67" s="7"/>
      <c r="H67" s="7"/>
      <c r="I67" s="127"/>
      <c r="J67" s="15" t="s">
        <v>2</v>
      </c>
      <c r="K67" s="15"/>
      <c r="L67" s="15"/>
      <c r="M67" s="6"/>
      <c r="N67" s="2"/>
    </row>
    <row r="68" spans="1:14" ht="10.95" customHeight="1" x14ac:dyDescent="0.2">
      <c r="A68" s="2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6"/>
      <c r="N68" s="2"/>
    </row>
    <row r="69" spans="1:14" ht="24.75" customHeight="1" x14ac:dyDescent="0.2">
      <c r="A69" s="2"/>
      <c r="B69" s="8"/>
      <c r="C69" s="7" t="s">
        <v>151</v>
      </c>
      <c r="D69" s="7"/>
      <c r="E69" s="7"/>
      <c r="F69" s="7"/>
      <c r="G69" s="7"/>
      <c r="H69" s="7"/>
      <c r="I69" s="127"/>
      <c r="J69" s="15" t="s">
        <v>2</v>
      </c>
      <c r="K69" s="15"/>
      <c r="L69" s="15"/>
      <c r="M69" s="6"/>
      <c r="N69" s="2"/>
    </row>
    <row r="70" spans="1:14" ht="10.95" customHeight="1" x14ac:dyDescent="0.2">
      <c r="A70" s="2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6"/>
      <c r="N70" s="2"/>
    </row>
    <row r="71" spans="1:14" ht="24.75" customHeight="1" x14ac:dyDescent="0.2">
      <c r="A71" s="2"/>
      <c r="B71" s="8"/>
      <c r="C71" s="7" t="s">
        <v>152</v>
      </c>
      <c r="D71" s="7"/>
      <c r="E71" s="7"/>
      <c r="F71" s="7"/>
      <c r="G71" s="7"/>
      <c r="H71" s="7"/>
      <c r="I71" s="127"/>
      <c r="J71" s="15" t="s">
        <v>2</v>
      </c>
      <c r="K71" s="15"/>
      <c r="L71" s="15"/>
      <c r="M71" s="6"/>
      <c r="N71" s="2"/>
    </row>
    <row r="72" spans="1:14" ht="10.95" customHeight="1" x14ac:dyDescent="0.2">
      <c r="A72" s="2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6"/>
      <c r="N72" s="2"/>
    </row>
    <row r="73" spans="1:14" ht="24.75" customHeight="1" x14ac:dyDescent="0.2">
      <c r="A73" s="2"/>
      <c r="B73" s="8"/>
      <c r="C73" s="7" t="s">
        <v>154</v>
      </c>
      <c r="D73" s="7"/>
      <c r="E73" s="7"/>
      <c r="F73" s="7"/>
      <c r="G73" s="7"/>
      <c r="H73" s="7"/>
      <c r="I73" s="127"/>
      <c r="J73" s="15" t="s">
        <v>2</v>
      </c>
      <c r="K73" s="15"/>
      <c r="L73" s="15"/>
      <c r="M73" s="6"/>
      <c r="N73" s="2"/>
    </row>
    <row r="74" spans="1:14" ht="10.95" customHeight="1" x14ac:dyDescent="0.2">
      <c r="A74" s="2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6"/>
      <c r="N74" s="2"/>
    </row>
    <row r="75" spans="1:14" ht="24.75" customHeight="1" x14ac:dyDescent="0.2">
      <c r="A75" s="2"/>
      <c r="B75" s="8"/>
      <c r="C75" s="7" t="s">
        <v>155</v>
      </c>
      <c r="D75" s="7"/>
      <c r="E75" s="7"/>
      <c r="F75" s="7"/>
      <c r="G75" s="7"/>
      <c r="H75" s="7"/>
      <c r="I75" s="127"/>
      <c r="J75" s="15" t="s">
        <v>163</v>
      </c>
      <c r="K75" s="15"/>
      <c r="L75" s="15"/>
      <c r="M75" s="6"/>
      <c r="N75" s="2"/>
    </row>
    <row r="76" spans="1:14" ht="10.95" customHeight="1" x14ac:dyDescent="0.2">
      <c r="A76" s="2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6"/>
      <c r="N76" s="2"/>
    </row>
    <row r="77" spans="1:14" x14ac:dyDescent="0.2">
      <c r="A77" s="2"/>
      <c r="B77" s="1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2"/>
      <c r="N77" s="2"/>
    </row>
    <row r="78" spans="1:14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80" spans="1:14" x14ac:dyDescent="0.2">
      <c r="C80" s="126"/>
    </row>
    <row r="81" s="1" customFormat="1" x14ac:dyDescent="0.2"/>
    <row r="82" s="1" customFormat="1" x14ac:dyDescent="0.2"/>
    <row r="83" s="1" customFormat="1" x14ac:dyDescent="0.2"/>
    <row r="84" s="1" customFormat="1" ht="24.75" customHeight="1" x14ac:dyDescent="0.2"/>
    <row r="85" s="1" customFormat="1" ht="11.25" customHeight="1" x14ac:dyDescent="0.2"/>
    <row r="86" s="1" customFormat="1" ht="24.75" customHeight="1" x14ac:dyDescent="0.2"/>
    <row r="87" s="1" customFormat="1" ht="11.25" customHeight="1" x14ac:dyDescent="0.2"/>
    <row r="88" s="1" customFormat="1" ht="24.75" customHeight="1" x14ac:dyDescent="0.2"/>
    <row r="89" s="1" customFormat="1" ht="11.25" customHeight="1" x14ac:dyDescent="0.2"/>
    <row r="90" s="1" customFormat="1" ht="24.75" customHeight="1" x14ac:dyDescent="0.2"/>
    <row r="91" s="1" customFormat="1" ht="11.25" customHeight="1" x14ac:dyDescent="0.2"/>
    <row r="92" s="1" customFormat="1" ht="24.75" customHeight="1" x14ac:dyDescent="0.2"/>
    <row r="93" s="1" customFormat="1" ht="11.25" customHeight="1" x14ac:dyDescent="0.2"/>
    <row r="94" s="1" customFormat="1" ht="24.75" customHeight="1" x14ac:dyDescent="0.2"/>
    <row r="95" s="1" customFormat="1" ht="11.25" customHeight="1" x14ac:dyDescent="0.2"/>
    <row r="96" s="1" customFormat="1" ht="24.75" customHeigh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</sheetData>
  <sheetProtection sheet="1" objects="1" scenarios="1" selectLockedCells="1"/>
  <mergeCells count="19">
    <mergeCell ref="A2:G2"/>
    <mergeCell ref="H10:H11"/>
    <mergeCell ref="I10:I11"/>
    <mergeCell ref="J10:J11"/>
    <mergeCell ref="H44:J44"/>
    <mergeCell ref="C9:D9"/>
    <mergeCell ref="F9:G9"/>
    <mergeCell ref="E44:G44"/>
    <mergeCell ref="C44:D44"/>
    <mergeCell ref="C7:D7"/>
    <mergeCell ref="F7:G7"/>
    <mergeCell ref="C10:D11"/>
    <mergeCell ref="E10:E11"/>
    <mergeCell ref="F10:G11"/>
    <mergeCell ref="K44:L44"/>
    <mergeCell ref="K1:M1"/>
    <mergeCell ref="I2:J2"/>
    <mergeCell ref="L2:M2"/>
    <mergeCell ref="K10:K11"/>
  </mergeCells>
  <phoneticPr fontId="5"/>
  <dataValidations count="3">
    <dataValidation type="list" showInputMessage="1" showErrorMessage="1" sqref="C7:D7" xr:uid="{5910D445-8191-431C-AEC0-5EBF3D819587}">
      <formula1>"県内,県外"</formula1>
    </dataValidation>
    <dataValidation type="list" allowBlank="1" sqref="F7:G7" xr:uid="{A79229B8-61D4-426C-BB54-45D08831CD8C}">
      <formula1>"学校特別料金,一般料金"</formula1>
    </dataValidation>
    <dataValidation type="list" allowBlank="1" showInputMessage="1" showErrorMessage="1" sqref="C47:L47" xr:uid="{ECC8EB7A-0606-498C-A794-67AA2527308D}">
      <formula1>"〇,　　,"</formula1>
    </dataValidation>
  </dataValidations>
  <pageMargins left="0.7" right="0.7" top="0.75" bottom="0.75" header="0.3" footer="0.3"/>
  <pageSetup paperSize="9" scale="7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FC78E-FF24-4915-B93E-E7F83AB413B2}">
  <sheetPr codeName="Sheet10"/>
  <dimension ref="A1:BE81"/>
  <sheetViews>
    <sheetView view="pageBreakPreview" zoomScale="70" zoomScaleNormal="125" zoomScaleSheetLayoutView="70" workbookViewId="0">
      <selection activeCell="D38" sqref="D38:E38"/>
    </sheetView>
  </sheetViews>
  <sheetFormatPr defaultColWidth="8.09765625" defaultRowHeight="15.75" customHeight="1" x14ac:dyDescent="0.2"/>
  <cols>
    <col min="1" max="2" width="5.296875" style="24" customWidth="1"/>
    <col min="3" max="6" width="4.19921875" style="24" customWidth="1"/>
    <col min="7" max="7" width="4" style="24" customWidth="1"/>
    <col min="8" max="33" width="4.19921875" style="24" customWidth="1"/>
    <col min="34" max="38" width="4" style="24" customWidth="1"/>
    <col min="39" max="40" width="17.5" style="24" bestFit="1" customWidth="1"/>
    <col min="41" max="16384" width="8.09765625" style="24"/>
  </cols>
  <sheetData>
    <row r="1" spans="1:46" ht="25.5" customHeight="1" x14ac:dyDescent="0.2">
      <c r="A1" s="397" t="s">
        <v>17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170"/>
      <c r="Q1" s="170"/>
      <c r="R1" s="170"/>
      <c r="S1" s="170"/>
      <c r="T1" s="170"/>
      <c r="U1" s="399" t="s">
        <v>18</v>
      </c>
      <c r="V1" s="402"/>
      <c r="W1" s="403"/>
      <c r="X1" s="171"/>
      <c r="Y1" s="171"/>
      <c r="Z1" s="328" t="s">
        <v>19</v>
      </c>
      <c r="AA1" s="328"/>
      <c r="AB1" s="171"/>
      <c r="AC1" s="328" t="s">
        <v>164</v>
      </c>
      <c r="AD1" s="328"/>
      <c r="AE1" s="171"/>
      <c r="AF1" s="237" t="s">
        <v>20</v>
      </c>
      <c r="AG1" s="237"/>
      <c r="AM1" s="172" t="s">
        <v>21</v>
      </c>
      <c r="AN1" s="172" t="s">
        <v>22</v>
      </c>
    </row>
    <row r="2" spans="1:46" ht="15.75" customHeight="1" thickBot="1" x14ac:dyDescent="0.25">
      <c r="A2" s="398"/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170"/>
      <c r="Q2" s="170"/>
      <c r="R2" s="170"/>
      <c r="S2" s="170"/>
      <c r="T2" s="170"/>
      <c r="U2" s="400"/>
      <c r="V2" s="404"/>
      <c r="W2" s="405"/>
      <c r="X2" s="171"/>
      <c r="Y2" s="171"/>
      <c r="Z2" s="328" t="s">
        <v>23</v>
      </c>
      <c r="AA2" s="328"/>
      <c r="AB2" s="171"/>
      <c r="AC2" s="328" t="s">
        <v>165</v>
      </c>
      <c r="AD2" s="328"/>
      <c r="AE2" s="171"/>
      <c r="AF2" s="237" t="s">
        <v>24</v>
      </c>
      <c r="AG2" s="237"/>
      <c r="AM2" s="173">
        <v>46327</v>
      </c>
      <c r="AN2" s="173">
        <v>46477</v>
      </c>
    </row>
    <row r="3" spans="1:46" ht="23.25" customHeight="1" thickBot="1" x14ac:dyDescent="0.25">
      <c r="A3" s="23"/>
      <c r="B3" s="23"/>
      <c r="C3" s="408" t="s">
        <v>25</v>
      </c>
      <c r="D3" s="408"/>
      <c r="E3" s="408"/>
      <c r="F3" s="408"/>
      <c r="G3" s="409"/>
      <c r="H3" s="409"/>
      <c r="I3" s="409"/>
      <c r="J3" s="409"/>
      <c r="K3" s="409"/>
      <c r="L3" s="409"/>
      <c r="M3" s="409"/>
      <c r="N3" s="409"/>
      <c r="O3" s="409"/>
      <c r="P3" s="170"/>
      <c r="Q3" s="170"/>
      <c r="U3" s="401"/>
      <c r="V3" s="406"/>
      <c r="W3" s="407"/>
      <c r="X3" s="23"/>
      <c r="Y3" s="23"/>
      <c r="Z3" s="218" t="str">
        <f>料金シミュレーション!C7</f>
        <v>県内</v>
      </c>
      <c r="AA3" s="219"/>
      <c r="AB3" s="23"/>
      <c r="AC3" s="220" t="str">
        <f>料金シミュレーション!F7</f>
        <v>学校特別料金</v>
      </c>
      <c r="AD3" s="221"/>
      <c r="AE3" s="23"/>
      <c r="AF3" s="410" t="str">
        <f>+IF(AND($C$12&gt;=AM2,$C$12&lt;=AN2),AF2,AF1)</f>
        <v>繫忙期</v>
      </c>
      <c r="AG3" s="411"/>
      <c r="AP3" s="24" t="s">
        <v>26</v>
      </c>
      <c r="AR3" s="24" t="s">
        <v>27</v>
      </c>
    </row>
    <row r="4" spans="1:46" ht="21.75" customHeight="1" thickBot="1" x14ac:dyDescent="0.25">
      <c r="A4" s="174"/>
      <c r="B4" s="174"/>
      <c r="C4" s="175"/>
      <c r="D4" s="176"/>
      <c r="E4" s="176"/>
      <c r="F4" s="176"/>
      <c r="G4" s="176"/>
      <c r="H4" s="176"/>
      <c r="I4" s="176"/>
      <c r="J4" s="174"/>
      <c r="K4" s="174"/>
      <c r="L4" s="174"/>
      <c r="M4" s="25"/>
      <c r="N4" s="25"/>
      <c r="O4" s="25"/>
      <c r="P4" s="25"/>
      <c r="Q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M4" s="24" t="s">
        <v>28</v>
      </c>
      <c r="AN4" s="24" t="s">
        <v>29</v>
      </c>
      <c r="AP4" s="24" t="s">
        <v>30</v>
      </c>
      <c r="AQ4" s="24" t="s">
        <v>31</v>
      </c>
      <c r="AR4" s="24" t="s">
        <v>30</v>
      </c>
      <c r="AS4" s="24" t="s">
        <v>32</v>
      </c>
      <c r="AT4" s="24" t="s">
        <v>33</v>
      </c>
    </row>
    <row r="5" spans="1:46" ht="15.75" customHeight="1" x14ac:dyDescent="0.2">
      <c r="A5" s="351" t="s">
        <v>34</v>
      </c>
      <c r="B5" s="351"/>
      <c r="C5" s="365" t="s">
        <v>35</v>
      </c>
      <c r="D5" s="366"/>
      <c r="E5" s="367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  <c r="T5" s="371"/>
      <c r="U5" s="371"/>
      <c r="V5" s="371"/>
      <c r="W5" s="372"/>
      <c r="X5" s="23"/>
      <c r="Y5" s="23"/>
      <c r="AA5" s="23"/>
      <c r="AB5" s="23"/>
      <c r="AC5" s="23"/>
      <c r="AD5" s="23"/>
      <c r="AE5" s="23"/>
      <c r="AF5" s="237" t="s">
        <v>36</v>
      </c>
      <c r="AG5" s="237"/>
      <c r="AM5" s="24">
        <f>IF($AC$3="",0,+IF($AC$3=$AC$1,AP5,IF($Z$3=$Z$1,AR5,IF($AF$3=$AF$1,AS5,AT5))))</f>
        <v>0</v>
      </c>
      <c r="AN5" s="24" t="s">
        <v>37</v>
      </c>
      <c r="AO5" s="24" t="s">
        <v>38</v>
      </c>
      <c r="AP5" s="24">
        <v>0</v>
      </c>
      <c r="AQ5" s="24">
        <v>0</v>
      </c>
      <c r="AR5" s="24">
        <v>0</v>
      </c>
      <c r="AS5" s="24">
        <v>0</v>
      </c>
      <c r="AT5" s="24">
        <v>0</v>
      </c>
    </row>
    <row r="6" spans="1:46" ht="15.75" customHeight="1" x14ac:dyDescent="0.2">
      <c r="A6" s="351"/>
      <c r="B6" s="351"/>
      <c r="C6" s="368"/>
      <c r="D6" s="369"/>
      <c r="E6" s="370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4"/>
      <c r="X6" s="23"/>
      <c r="Y6" s="23"/>
      <c r="Z6" s="23"/>
      <c r="AA6" s="23"/>
      <c r="AB6" s="23"/>
      <c r="AC6" s="23"/>
      <c r="AD6" s="23"/>
      <c r="AE6" s="23"/>
      <c r="AF6" s="237" t="s">
        <v>39</v>
      </c>
      <c r="AG6" s="237"/>
      <c r="AM6" s="24">
        <f>IF($AC$3="",0,+IF($AC$3=$AC$1,AP6,IF($Z$3=$Z$1,AR6,IF($AF$3=$AF$1,AS6,AT6))))</f>
        <v>300</v>
      </c>
      <c r="AN6" s="24" t="s">
        <v>40</v>
      </c>
      <c r="AO6" s="24" t="s">
        <v>42</v>
      </c>
      <c r="AP6" s="24">
        <v>300</v>
      </c>
      <c r="AQ6" s="24">
        <v>300</v>
      </c>
      <c r="AR6" s="24">
        <v>600</v>
      </c>
      <c r="AS6" s="24">
        <v>2100</v>
      </c>
      <c r="AT6" s="24">
        <v>1600</v>
      </c>
    </row>
    <row r="7" spans="1:46" ht="15.75" customHeight="1" x14ac:dyDescent="0.2">
      <c r="A7" s="351"/>
      <c r="B7" s="351"/>
      <c r="C7" s="368" t="s">
        <v>43</v>
      </c>
      <c r="D7" s="369"/>
      <c r="E7" s="370"/>
      <c r="F7" s="373"/>
      <c r="G7" s="373"/>
      <c r="H7" s="373"/>
      <c r="I7" s="373"/>
      <c r="J7" s="373"/>
      <c r="K7" s="373"/>
      <c r="L7" s="373"/>
      <c r="M7" s="373"/>
      <c r="N7" s="373"/>
      <c r="O7" s="373"/>
      <c r="P7" s="373"/>
      <c r="Q7" s="373"/>
      <c r="R7" s="373"/>
      <c r="S7" s="373"/>
      <c r="T7" s="373"/>
      <c r="U7" s="373"/>
      <c r="V7" s="373"/>
      <c r="W7" s="374"/>
      <c r="X7" s="23"/>
      <c r="Y7" s="23"/>
      <c r="Z7" s="23"/>
      <c r="AA7" s="23"/>
      <c r="AD7" s="23"/>
      <c r="AE7" s="26" t="s">
        <v>44</v>
      </c>
      <c r="AF7" s="387" t="s">
        <v>45</v>
      </c>
      <c r="AG7" s="387"/>
      <c r="AM7" s="24">
        <f>IF($AC$3="",0,+IF($AC$3=$AC$1,AP7,IF($Z$3=$Z$1,AR7,IF($AF$3=$AF$1,AS7,AT7))))</f>
        <v>600</v>
      </c>
      <c r="AP7" s="24">
        <v>600</v>
      </c>
      <c r="AQ7" s="24">
        <v>600</v>
      </c>
      <c r="AR7" s="24">
        <v>600</v>
      </c>
      <c r="AS7" s="24">
        <v>600</v>
      </c>
      <c r="AT7" s="24">
        <v>600</v>
      </c>
    </row>
    <row r="8" spans="1:46" ht="15.75" customHeight="1" x14ac:dyDescent="0.2">
      <c r="A8" s="351"/>
      <c r="B8" s="351"/>
      <c r="C8" s="368"/>
      <c r="D8" s="369"/>
      <c r="E8" s="370"/>
      <c r="F8" s="373"/>
      <c r="G8" s="373"/>
      <c r="H8" s="373"/>
      <c r="I8" s="373"/>
      <c r="J8" s="373"/>
      <c r="K8" s="373"/>
      <c r="L8" s="373"/>
      <c r="M8" s="373"/>
      <c r="N8" s="373"/>
      <c r="O8" s="373"/>
      <c r="P8" s="373"/>
      <c r="Q8" s="373"/>
      <c r="R8" s="373"/>
      <c r="S8" s="373"/>
      <c r="T8" s="373"/>
      <c r="U8" s="373"/>
      <c r="V8" s="373"/>
      <c r="W8" s="374"/>
      <c r="X8" s="23"/>
      <c r="Y8" s="23"/>
      <c r="Z8" s="23"/>
      <c r="AA8" s="23"/>
      <c r="AB8" s="23"/>
      <c r="AC8" s="23"/>
      <c r="AD8" s="388" t="str">
        <f>+IF(AF7=AF6,AP16,"")</f>
        <v/>
      </c>
      <c r="AE8" s="388"/>
      <c r="AF8" s="388"/>
      <c r="AG8" s="388"/>
      <c r="AH8" s="388"/>
      <c r="AI8" s="388"/>
      <c r="AJ8" s="388"/>
      <c r="AM8" s="24">
        <f t="shared" ref="AM8:AM13" si="0">IF($AC$3="",0,+IF($AC$3=$AC$1,AP8,IF($Z$3=$Z$1,AR8,IF($AF$3=$AF$1,AS8,AT8))))</f>
        <v>600</v>
      </c>
      <c r="AN8" s="24" t="s">
        <v>46</v>
      </c>
      <c r="AO8" s="24" t="s">
        <v>42</v>
      </c>
      <c r="AP8" s="24">
        <v>600</v>
      </c>
      <c r="AQ8" s="24">
        <v>600</v>
      </c>
      <c r="AR8" s="24">
        <v>900</v>
      </c>
      <c r="AS8" s="24">
        <v>2400</v>
      </c>
      <c r="AT8" s="24">
        <v>1900</v>
      </c>
    </row>
    <row r="9" spans="1:46" ht="15.75" customHeight="1" x14ac:dyDescent="0.2">
      <c r="A9" s="351"/>
      <c r="B9" s="351"/>
      <c r="C9" s="368" t="s">
        <v>47</v>
      </c>
      <c r="D9" s="369"/>
      <c r="E9" s="370"/>
      <c r="F9" s="373"/>
      <c r="G9" s="373"/>
      <c r="H9" s="373"/>
      <c r="I9" s="373"/>
      <c r="J9" s="373"/>
      <c r="K9" s="373"/>
      <c r="L9" s="373"/>
      <c r="M9" s="373"/>
      <c r="N9" s="373"/>
      <c r="O9" s="373"/>
      <c r="P9" s="373"/>
      <c r="Q9" s="373"/>
      <c r="R9" s="373"/>
      <c r="S9" s="373"/>
      <c r="T9" s="373"/>
      <c r="U9" s="373"/>
      <c r="V9" s="373"/>
      <c r="W9" s="374"/>
      <c r="X9" s="23"/>
      <c r="Y9" s="23"/>
      <c r="Z9" s="23"/>
      <c r="AA9" s="23"/>
      <c r="AB9" s="23"/>
      <c r="AC9" s="23"/>
      <c r="AD9" s="388"/>
      <c r="AE9" s="388"/>
      <c r="AF9" s="388"/>
      <c r="AG9" s="388"/>
      <c r="AH9" s="388"/>
      <c r="AI9" s="388"/>
      <c r="AJ9" s="388"/>
      <c r="AM9" s="24">
        <f t="shared" si="0"/>
        <v>600</v>
      </c>
      <c r="AP9" s="24">
        <v>600</v>
      </c>
      <c r="AQ9" s="24">
        <v>600</v>
      </c>
      <c r="AR9" s="24">
        <v>600</v>
      </c>
      <c r="AS9" s="24">
        <v>600</v>
      </c>
      <c r="AT9" s="24">
        <v>600</v>
      </c>
    </row>
    <row r="10" spans="1:46" ht="15.75" customHeight="1" thickBot="1" x14ac:dyDescent="0.25">
      <c r="A10" s="351"/>
      <c r="B10" s="351"/>
      <c r="C10" s="389"/>
      <c r="D10" s="390"/>
      <c r="E10" s="391"/>
      <c r="F10" s="392"/>
      <c r="G10" s="392"/>
      <c r="H10" s="392"/>
      <c r="I10" s="392"/>
      <c r="J10" s="392"/>
      <c r="K10" s="392"/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392"/>
      <c r="W10" s="393"/>
      <c r="X10" s="23"/>
      <c r="Y10" s="23"/>
      <c r="Z10" s="23"/>
      <c r="AA10" s="23"/>
      <c r="AB10" s="23"/>
      <c r="AC10" s="23"/>
      <c r="AD10" s="388"/>
      <c r="AE10" s="388"/>
      <c r="AF10" s="388"/>
      <c r="AG10" s="388"/>
      <c r="AH10" s="388"/>
      <c r="AI10" s="388"/>
      <c r="AJ10" s="388"/>
      <c r="AM10" s="24">
        <f t="shared" si="0"/>
        <v>600</v>
      </c>
      <c r="AN10" s="24" t="s">
        <v>48</v>
      </c>
      <c r="AO10" s="24" t="s">
        <v>42</v>
      </c>
      <c r="AP10" s="24">
        <v>600</v>
      </c>
      <c r="AQ10" s="24">
        <v>600</v>
      </c>
      <c r="AR10" s="24">
        <v>900</v>
      </c>
      <c r="AS10" s="24">
        <v>2400</v>
      </c>
      <c r="AT10" s="24">
        <v>1900</v>
      </c>
    </row>
    <row r="11" spans="1:46" ht="15.75" customHeight="1" thickBot="1" x14ac:dyDescent="0.25">
      <c r="Y11" s="394" t="str">
        <f>+IF(S12=1,"【日帰り】","")</f>
        <v/>
      </c>
      <c r="Z11" s="394"/>
      <c r="AA11" s="394"/>
      <c r="AB11" s="394"/>
      <c r="AD11" s="388"/>
      <c r="AE11" s="388"/>
      <c r="AF11" s="388"/>
      <c r="AG11" s="388"/>
      <c r="AH11" s="388"/>
      <c r="AI11" s="388"/>
      <c r="AJ11" s="388"/>
      <c r="AM11" s="24">
        <f t="shared" si="0"/>
        <v>600</v>
      </c>
      <c r="AP11" s="24">
        <v>600</v>
      </c>
      <c r="AQ11" s="24">
        <v>600</v>
      </c>
      <c r="AR11" s="24">
        <v>600</v>
      </c>
      <c r="AS11" s="24">
        <v>600</v>
      </c>
      <c r="AT11" s="24">
        <v>600</v>
      </c>
    </row>
    <row r="12" spans="1:46" ht="15.75" customHeight="1" x14ac:dyDescent="0.2">
      <c r="A12" s="351" t="s">
        <v>49</v>
      </c>
      <c r="B12" s="351"/>
      <c r="C12" s="375">
        <f>料金シミュレーション!C10</f>
        <v>46147</v>
      </c>
      <c r="D12" s="376"/>
      <c r="E12" s="376"/>
      <c r="F12" s="376"/>
      <c r="G12" s="376"/>
      <c r="H12" s="379" t="s">
        <v>50</v>
      </c>
      <c r="I12" s="380"/>
      <c r="J12" s="382">
        <f>料金シミュレーション!F10</f>
        <v>46148</v>
      </c>
      <c r="K12" s="382"/>
      <c r="L12" s="382"/>
      <c r="M12" s="382"/>
      <c r="N12" s="382"/>
      <c r="O12" s="384">
        <f>IF(C12="","",(J12-C12))</f>
        <v>1</v>
      </c>
      <c r="P12" s="385"/>
      <c r="Q12" s="385"/>
      <c r="R12" s="384" t="s">
        <v>51</v>
      </c>
      <c r="S12" s="384">
        <f>IF(J12="","",(J12-C12)+1)</f>
        <v>2</v>
      </c>
      <c r="T12" s="385"/>
      <c r="U12" s="385"/>
      <c r="V12" s="385"/>
      <c r="W12" s="395" t="s">
        <v>52</v>
      </c>
      <c r="X12" s="177"/>
      <c r="Y12" s="394"/>
      <c r="Z12" s="394"/>
      <c r="AA12" s="394"/>
      <c r="AB12" s="394"/>
      <c r="AC12" s="177"/>
      <c r="AD12" s="388"/>
      <c r="AE12" s="388"/>
      <c r="AF12" s="388"/>
      <c r="AG12" s="388"/>
      <c r="AH12" s="388"/>
      <c r="AI12" s="388"/>
      <c r="AJ12" s="388"/>
      <c r="AM12" s="24">
        <f t="shared" si="0"/>
        <v>600</v>
      </c>
      <c r="AN12" s="24" t="s">
        <v>53</v>
      </c>
      <c r="AO12" s="24" t="s">
        <v>42</v>
      </c>
      <c r="AP12" s="24">
        <v>600</v>
      </c>
      <c r="AQ12" s="24">
        <v>600</v>
      </c>
      <c r="AR12" s="24">
        <v>1300</v>
      </c>
      <c r="AS12" s="24">
        <v>2800</v>
      </c>
      <c r="AT12" s="24">
        <v>2300</v>
      </c>
    </row>
    <row r="13" spans="1:46" ht="15.75" customHeight="1" thickBot="1" x14ac:dyDescent="0.25">
      <c r="A13" s="351"/>
      <c r="B13" s="351"/>
      <c r="C13" s="377"/>
      <c r="D13" s="378"/>
      <c r="E13" s="378"/>
      <c r="F13" s="378"/>
      <c r="G13" s="378"/>
      <c r="H13" s="381"/>
      <c r="I13" s="381"/>
      <c r="J13" s="383"/>
      <c r="K13" s="383"/>
      <c r="L13" s="383"/>
      <c r="M13" s="383"/>
      <c r="N13" s="383"/>
      <c r="O13" s="386"/>
      <c r="P13" s="386"/>
      <c r="Q13" s="386"/>
      <c r="R13" s="386"/>
      <c r="S13" s="386"/>
      <c r="T13" s="386"/>
      <c r="U13" s="386"/>
      <c r="V13" s="386"/>
      <c r="W13" s="396"/>
      <c r="X13" s="23"/>
      <c r="Y13" s="394"/>
      <c r="Z13" s="394"/>
      <c r="AA13" s="394"/>
      <c r="AB13" s="394"/>
      <c r="AC13" s="23"/>
      <c r="AD13" s="388"/>
      <c r="AE13" s="388"/>
      <c r="AF13" s="388"/>
      <c r="AG13" s="388"/>
      <c r="AH13" s="388"/>
      <c r="AI13" s="388"/>
      <c r="AJ13" s="388"/>
      <c r="AM13" s="24">
        <f t="shared" si="0"/>
        <v>600</v>
      </c>
      <c r="AO13" s="24" t="s">
        <v>38</v>
      </c>
      <c r="AP13" s="24">
        <v>600</v>
      </c>
      <c r="AQ13" s="24">
        <v>600</v>
      </c>
      <c r="AR13" s="24">
        <v>600</v>
      </c>
      <c r="AS13" s="24">
        <v>600</v>
      </c>
      <c r="AT13" s="24">
        <v>600</v>
      </c>
    </row>
    <row r="14" spans="1:46" ht="15.75" customHeight="1" thickBot="1" x14ac:dyDescent="0.25">
      <c r="A14" s="178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O14" s="24" t="s">
        <v>42</v>
      </c>
    </row>
    <row r="15" spans="1:46" ht="15.75" customHeight="1" x14ac:dyDescent="0.2">
      <c r="A15" s="351" t="s">
        <v>54</v>
      </c>
      <c r="B15" s="351"/>
      <c r="C15" s="333" t="str">
        <f>+C20</f>
        <v>3歳未満</v>
      </c>
      <c r="D15" s="334"/>
      <c r="E15" s="334"/>
      <c r="F15" s="338"/>
      <c r="G15" s="333" t="str">
        <f>+I20</f>
        <v>中学生以下</v>
      </c>
      <c r="H15" s="334"/>
      <c r="I15" s="334"/>
      <c r="J15" s="338"/>
      <c r="K15" s="333" t="str">
        <f>+O20</f>
        <v>高校・大学・23歳未満</v>
      </c>
      <c r="L15" s="334"/>
      <c r="M15" s="334"/>
      <c r="N15" s="338"/>
      <c r="O15" s="333" t="str">
        <f>+U20</f>
        <v>教職員</v>
      </c>
      <c r="P15" s="334"/>
      <c r="Q15" s="334"/>
      <c r="R15" s="338"/>
      <c r="S15" s="333" t="str">
        <f>+AA20</f>
        <v>大人等</v>
      </c>
      <c r="T15" s="334"/>
      <c r="U15" s="334"/>
      <c r="V15" s="338"/>
      <c r="W15" s="333" t="s">
        <v>0</v>
      </c>
      <c r="X15" s="334"/>
      <c r="Y15" s="334"/>
      <c r="Z15" s="338"/>
      <c r="AA15" s="352" t="s">
        <v>0</v>
      </c>
      <c r="AB15" s="353"/>
      <c r="AC15" s="353"/>
      <c r="AD15" s="353"/>
      <c r="AE15" s="353"/>
      <c r="AF15" s="353"/>
      <c r="AG15" s="354"/>
      <c r="AO15" s="24" t="s">
        <v>38</v>
      </c>
    </row>
    <row r="16" spans="1:46" ht="15.75" customHeight="1" x14ac:dyDescent="0.2">
      <c r="A16" s="351"/>
      <c r="B16" s="351"/>
      <c r="C16" s="355" t="s">
        <v>55</v>
      </c>
      <c r="D16" s="356"/>
      <c r="E16" s="357" t="s">
        <v>56</v>
      </c>
      <c r="F16" s="358"/>
      <c r="G16" s="355" t="s">
        <v>55</v>
      </c>
      <c r="H16" s="356"/>
      <c r="I16" s="357" t="s">
        <v>56</v>
      </c>
      <c r="J16" s="358"/>
      <c r="K16" s="355" t="s">
        <v>55</v>
      </c>
      <c r="L16" s="356"/>
      <c r="M16" s="357" t="s">
        <v>56</v>
      </c>
      <c r="N16" s="358"/>
      <c r="O16" s="355" t="s">
        <v>55</v>
      </c>
      <c r="P16" s="356"/>
      <c r="Q16" s="357" t="s">
        <v>56</v>
      </c>
      <c r="R16" s="358"/>
      <c r="S16" s="355" t="s">
        <v>55</v>
      </c>
      <c r="T16" s="356"/>
      <c r="U16" s="357" t="s">
        <v>56</v>
      </c>
      <c r="V16" s="358"/>
      <c r="W16" s="355" t="s">
        <v>55</v>
      </c>
      <c r="X16" s="356"/>
      <c r="Y16" s="357" t="s">
        <v>56</v>
      </c>
      <c r="Z16" s="358"/>
      <c r="AA16" s="359" t="str">
        <f>"宿泊合計 "&amp;+W17+Y17&amp;"名"</f>
        <v>宿泊合計 0名</v>
      </c>
      <c r="AB16" s="360"/>
      <c r="AC16" s="360"/>
      <c r="AD16" s="360"/>
      <c r="AE16" s="360"/>
      <c r="AF16" s="360"/>
      <c r="AG16" s="361"/>
      <c r="AM16" s="24">
        <v>2000</v>
      </c>
      <c r="AN16" s="24" t="s">
        <v>57</v>
      </c>
      <c r="AO16" s="24" t="s">
        <v>58</v>
      </c>
      <c r="AP16" s="24" t="s">
        <v>59</v>
      </c>
    </row>
    <row r="17" spans="1:46" ht="15.75" customHeight="1" thickBot="1" x14ac:dyDescent="0.25">
      <c r="A17" s="351"/>
      <c r="B17" s="351"/>
      <c r="C17" s="349">
        <f>+IF(C29="",0,C29)</f>
        <v>0</v>
      </c>
      <c r="D17" s="350"/>
      <c r="E17" s="347">
        <f>+IF(E29="",0,E29)</f>
        <v>0</v>
      </c>
      <c r="F17" s="348"/>
      <c r="G17" s="349">
        <f>+IF(I29="",0,I29)</f>
        <v>0</v>
      </c>
      <c r="H17" s="350"/>
      <c r="I17" s="347">
        <f>+IF(K29="",0,K29)</f>
        <v>0</v>
      </c>
      <c r="J17" s="348"/>
      <c r="K17" s="349">
        <f>+IF(O29="",0,O29)</f>
        <v>0</v>
      </c>
      <c r="L17" s="350"/>
      <c r="M17" s="347">
        <f>+IF(Q29="",0,Q29)</f>
        <v>0</v>
      </c>
      <c r="N17" s="348"/>
      <c r="O17" s="349">
        <f>+IF(U29="",0,U29)</f>
        <v>0</v>
      </c>
      <c r="P17" s="350"/>
      <c r="Q17" s="347">
        <f>+IF(W29="",0,W29)</f>
        <v>0</v>
      </c>
      <c r="R17" s="348"/>
      <c r="S17" s="349">
        <f>+IF(AA29="",0,AA29)</f>
        <v>0</v>
      </c>
      <c r="T17" s="350"/>
      <c r="U17" s="347">
        <f>+IF(AC29="",0,AC29)</f>
        <v>0</v>
      </c>
      <c r="V17" s="348"/>
      <c r="W17" s="349">
        <f>+C17+G17+K17+O17+S17</f>
        <v>0</v>
      </c>
      <c r="X17" s="350"/>
      <c r="Y17" s="347">
        <f>+E17+I17+M17+Q17+U17</f>
        <v>0</v>
      </c>
      <c r="Z17" s="348"/>
      <c r="AA17" s="362"/>
      <c r="AB17" s="363"/>
      <c r="AC17" s="363"/>
      <c r="AD17" s="363"/>
      <c r="AE17" s="363"/>
      <c r="AF17" s="363"/>
      <c r="AG17" s="364"/>
    </row>
    <row r="18" spans="1:46" ht="15.75" customHeight="1" x14ac:dyDescent="0.2">
      <c r="A18" s="351" t="s">
        <v>60</v>
      </c>
      <c r="B18" s="351"/>
      <c r="C18" s="343"/>
      <c r="D18" s="344"/>
      <c r="E18" s="343"/>
      <c r="F18" s="344"/>
      <c r="G18" s="343"/>
      <c r="H18" s="344"/>
      <c r="I18" s="343"/>
      <c r="J18" s="344"/>
      <c r="K18" s="343"/>
      <c r="L18" s="344"/>
      <c r="M18" s="343"/>
      <c r="N18" s="344"/>
      <c r="O18" s="343"/>
      <c r="P18" s="344"/>
      <c r="Q18" s="343"/>
      <c r="R18" s="344"/>
      <c r="S18" s="343"/>
      <c r="T18" s="344"/>
      <c r="U18" s="343"/>
      <c r="V18" s="344"/>
      <c r="W18" s="345">
        <f>+C18+G18+K18+O18+S18</f>
        <v>0</v>
      </c>
      <c r="X18" s="346"/>
      <c r="Y18" s="345">
        <f>+E18+I18+M18+Q18+U18</f>
        <v>0</v>
      </c>
      <c r="Z18" s="346"/>
      <c r="AA18" s="325" t="str">
        <f>+"日帰計 "&amp;W18+Y18&amp;"名"</f>
        <v>日帰計 0名</v>
      </c>
      <c r="AB18" s="325"/>
      <c r="AC18" s="326"/>
      <c r="AD18" s="327" t="str">
        <f>+"利用合計 "&amp;W17+Y17+W18+Y18&amp;"名"</f>
        <v>利用合計 0名</v>
      </c>
      <c r="AE18" s="328"/>
      <c r="AF18" s="328"/>
      <c r="AG18" s="329"/>
    </row>
    <row r="19" spans="1:46" ht="15.75" customHeight="1" thickBot="1" x14ac:dyDescent="0.4">
      <c r="A19" s="180" t="s">
        <v>61</v>
      </c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2"/>
      <c r="Y19" s="182"/>
      <c r="Z19" s="182"/>
      <c r="AA19" s="182"/>
      <c r="AB19" s="182"/>
      <c r="AC19" s="182"/>
      <c r="AD19" s="330"/>
      <c r="AE19" s="331"/>
      <c r="AF19" s="331"/>
      <c r="AG19" s="332"/>
    </row>
    <row r="20" spans="1:46" ht="15.75" customHeight="1" thickBot="1" x14ac:dyDescent="0.25">
      <c r="A20" s="333" t="s">
        <v>62</v>
      </c>
      <c r="B20" s="334"/>
      <c r="C20" s="333" t="str">
        <f>+AN5</f>
        <v>3歳未満</v>
      </c>
      <c r="D20" s="334"/>
      <c r="E20" s="334"/>
      <c r="F20" s="334"/>
      <c r="G20" s="334"/>
      <c r="H20" s="337"/>
      <c r="I20" s="333" t="str">
        <f>+AN6</f>
        <v>中学生以下</v>
      </c>
      <c r="J20" s="334"/>
      <c r="K20" s="334"/>
      <c r="L20" s="334"/>
      <c r="M20" s="334"/>
      <c r="N20" s="337"/>
      <c r="O20" s="333" t="str">
        <f>+AN8</f>
        <v>高校・大学・23歳未満</v>
      </c>
      <c r="P20" s="334"/>
      <c r="Q20" s="334"/>
      <c r="R20" s="334"/>
      <c r="S20" s="334"/>
      <c r="T20" s="337"/>
      <c r="U20" s="333" t="str">
        <f>+AN10</f>
        <v>教職員</v>
      </c>
      <c r="V20" s="334"/>
      <c r="W20" s="334"/>
      <c r="X20" s="334"/>
      <c r="Y20" s="334"/>
      <c r="Z20" s="337"/>
      <c r="AA20" s="333" t="str">
        <f>+AN12</f>
        <v>大人等</v>
      </c>
      <c r="AB20" s="334"/>
      <c r="AC20" s="334"/>
      <c r="AD20" s="334"/>
      <c r="AE20" s="334"/>
      <c r="AF20" s="338"/>
      <c r="AG20" s="339" t="s">
        <v>63</v>
      </c>
      <c r="AH20" s="340"/>
      <c r="AI20" s="27"/>
      <c r="AJ20" s="27"/>
    </row>
    <row r="21" spans="1:46" ht="15.75" customHeight="1" x14ac:dyDescent="0.2">
      <c r="A21" s="335"/>
      <c r="B21" s="336"/>
      <c r="C21" s="183" t="s">
        <v>64</v>
      </c>
      <c r="D21" s="184" t="s">
        <v>65</v>
      </c>
      <c r="E21" s="185" t="s">
        <v>66</v>
      </c>
      <c r="F21" s="186" t="str">
        <f>+D21</f>
        <v>減免</v>
      </c>
      <c r="G21" s="187" t="s">
        <v>67</v>
      </c>
      <c r="H21" s="188" t="str">
        <f>+F21</f>
        <v>減免</v>
      </c>
      <c r="I21" s="189" t="str">
        <f t="shared" ref="I21:N21" si="1">C21</f>
        <v>男性</v>
      </c>
      <c r="J21" s="184" t="str">
        <f t="shared" si="1"/>
        <v>減免</v>
      </c>
      <c r="K21" s="185" t="str">
        <f t="shared" si="1"/>
        <v>女性</v>
      </c>
      <c r="L21" s="186" t="str">
        <f t="shared" si="1"/>
        <v>減免</v>
      </c>
      <c r="M21" s="190" t="str">
        <f t="shared" si="1"/>
        <v>小計</v>
      </c>
      <c r="N21" s="191" t="str">
        <f t="shared" si="1"/>
        <v>減免</v>
      </c>
      <c r="O21" s="189" t="str">
        <f t="shared" ref="O21:T21" si="2">C21</f>
        <v>男性</v>
      </c>
      <c r="P21" s="184" t="str">
        <f t="shared" si="2"/>
        <v>減免</v>
      </c>
      <c r="Q21" s="185" t="str">
        <f t="shared" si="2"/>
        <v>女性</v>
      </c>
      <c r="R21" s="186" t="str">
        <f t="shared" si="2"/>
        <v>減免</v>
      </c>
      <c r="S21" s="190" t="str">
        <f t="shared" si="2"/>
        <v>小計</v>
      </c>
      <c r="T21" s="191" t="str">
        <f t="shared" si="2"/>
        <v>減免</v>
      </c>
      <c r="U21" s="189" t="str">
        <f t="shared" ref="U21:Z21" si="3">C21</f>
        <v>男性</v>
      </c>
      <c r="V21" s="184" t="str">
        <f t="shared" si="3"/>
        <v>減免</v>
      </c>
      <c r="W21" s="185" t="str">
        <f t="shared" si="3"/>
        <v>女性</v>
      </c>
      <c r="X21" s="186" t="str">
        <f t="shared" si="3"/>
        <v>減免</v>
      </c>
      <c r="Y21" s="190" t="str">
        <f t="shared" si="3"/>
        <v>小計</v>
      </c>
      <c r="Z21" s="191" t="str">
        <f t="shared" si="3"/>
        <v>減免</v>
      </c>
      <c r="AA21" s="183" t="str">
        <f t="shared" ref="AA21:AF21" si="4">C21</f>
        <v>男性</v>
      </c>
      <c r="AB21" s="184" t="str">
        <f t="shared" si="4"/>
        <v>減免</v>
      </c>
      <c r="AC21" s="185" t="str">
        <f t="shared" si="4"/>
        <v>女性</v>
      </c>
      <c r="AD21" s="186" t="str">
        <f t="shared" si="4"/>
        <v>減免</v>
      </c>
      <c r="AE21" s="190" t="str">
        <f t="shared" si="4"/>
        <v>小計</v>
      </c>
      <c r="AF21" s="191" t="str">
        <f t="shared" si="4"/>
        <v>減免</v>
      </c>
      <c r="AG21" s="341"/>
      <c r="AH21" s="342"/>
      <c r="AI21" s="27"/>
      <c r="AJ21" s="27"/>
    </row>
    <row r="22" spans="1:46" ht="15.75" customHeight="1" x14ac:dyDescent="0.2">
      <c r="A22" s="314">
        <f>IF(C12="","",C12)</f>
        <v>46147</v>
      </c>
      <c r="B22" s="315"/>
      <c r="C22" s="128"/>
      <c r="D22" s="129"/>
      <c r="E22" s="130"/>
      <c r="F22" s="131"/>
      <c r="G22" s="132">
        <f>料金シミュレーション!I21</f>
        <v>0</v>
      </c>
      <c r="H22" s="133" t="str">
        <f>IF(D22+F22=0,"",D22+F22)</f>
        <v/>
      </c>
      <c r="I22" s="134"/>
      <c r="J22" s="129"/>
      <c r="K22" s="130"/>
      <c r="L22" s="131"/>
      <c r="M22" s="132">
        <f>料金シミュレーション!I23+料金シミュレーション!I25+料金シミュレーション!I27</f>
        <v>0</v>
      </c>
      <c r="N22" s="133" t="str">
        <f>IF(J22+L22=0,"",J22+L22)</f>
        <v/>
      </c>
      <c r="O22" s="134"/>
      <c r="P22" s="129"/>
      <c r="Q22" s="130"/>
      <c r="R22" s="131"/>
      <c r="S22" s="132">
        <f>料金シミュレーション!I29</f>
        <v>0</v>
      </c>
      <c r="T22" s="133" t="str">
        <f t="shared" ref="T22:T28" si="5">IF(P22+R22=0,"",P22+R22)</f>
        <v/>
      </c>
      <c r="U22" s="134"/>
      <c r="V22" s="129"/>
      <c r="W22" s="130"/>
      <c r="X22" s="131"/>
      <c r="Y22" s="132">
        <f>料金シミュレーション!I31</f>
        <v>0</v>
      </c>
      <c r="Z22" s="133" t="str">
        <f>IF(V22+X22=0,"",V22+X22)</f>
        <v/>
      </c>
      <c r="AA22" s="128"/>
      <c r="AB22" s="129"/>
      <c r="AC22" s="130"/>
      <c r="AD22" s="131"/>
      <c r="AE22" s="132">
        <f>料金シミュレーション!I33</f>
        <v>0</v>
      </c>
      <c r="AF22" s="133" t="str">
        <f>IF(AB22+AD22=0,"",AB22+AD22)</f>
        <v/>
      </c>
      <c r="AG22" s="316">
        <f t="shared" ref="AG22:AG28" si="6">+IF(A22="","",C22+E22+I22+K22+O22+Q22+U22+W22+AA22+AC22)</f>
        <v>0</v>
      </c>
      <c r="AH22" s="317"/>
      <c r="AI22" s="25"/>
      <c r="AJ22" s="25"/>
    </row>
    <row r="23" spans="1:46" ht="15.75" customHeight="1" x14ac:dyDescent="0.2">
      <c r="A23" s="314" t="str">
        <f>IF($O$12&gt;1,A22+1,"")</f>
        <v/>
      </c>
      <c r="B23" s="315"/>
      <c r="C23" s="128"/>
      <c r="D23" s="129"/>
      <c r="E23" s="130"/>
      <c r="F23" s="131"/>
      <c r="G23" s="132" t="str">
        <f t="shared" ref="G23:G28" si="7">IF(A23="","",G22)</f>
        <v/>
      </c>
      <c r="H23" s="133" t="str">
        <f t="shared" ref="H23:H28" si="8">IF(D23+F23=0,"",D23+F23)</f>
        <v/>
      </c>
      <c r="I23" s="134"/>
      <c r="J23" s="129"/>
      <c r="K23" s="130"/>
      <c r="L23" s="131"/>
      <c r="M23" s="132" t="str">
        <f t="shared" ref="M23:M28" si="9">IF(A23="","",M22)</f>
        <v/>
      </c>
      <c r="N23" s="133" t="str">
        <f t="shared" ref="N23:N28" si="10">IF(J23+L23=0,"",J23+L23)</f>
        <v/>
      </c>
      <c r="O23" s="134"/>
      <c r="P23" s="129"/>
      <c r="Q23" s="130"/>
      <c r="R23" s="131"/>
      <c r="S23" s="132" t="str">
        <f t="shared" ref="S23:S28" si="11">IF(A23="","",S22)</f>
        <v/>
      </c>
      <c r="T23" s="133" t="str">
        <f t="shared" si="5"/>
        <v/>
      </c>
      <c r="U23" s="134"/>
      <c r="V23" s="129"/>
      <c r="W23" s="130"/>
      <c r="X23" s="131"/>
      <c r="Y23" s="132" t="str">
        <f t="shared" ref="Y23:Y28" si="12">IF(A23="","",Y22)</f>
        <v/>
      </c>
      <c r="Z23" s="133" t="str">
        <f t="shared" ref="Z23:Z28" si="13">IF(V23+X23=0,"",V23+X23)</f>
        <v/>
      </c>
      <c r="AA23" s="128"/>
      <c r="AB23" s="129"/>
      <c r="AC23" s="130"/>
      <c r="AD23" s="131"/>
      <c r="AE23" s="132" t="str">
        <f t="shared" ref="AE23:AE28" si="14">IF(A23="","",AE22)</f>
        <v/>
      </c>
      <c r="AF23" s="133" t="str">
        <f t="shared" ref="AF23:AF28" si="15">IF(AB23+AD23=0,"",AB23+AD23)</f>
        <v/>
      </c>
      <c r="AG23" s="316" t="str">
        <f t="shared" si="6"/>
        <v/>
      </c>
      <c r="AH23" s="317"/>
      <c r="AI23" s="25"/>
      <c r="AJ23" s="25"/>
    </row>
    <row r="24" spans="1:46" ht="15.75" customHeight="1" x14ac:dyDescent="0.2">
      <c r="A24" s="314" t="str">
        <f>IF($O$12&gt;2,A23+1,"")</f>
        <v/>
      </c>
      <c r="B24" s="315"/>
      <c r="C24" s="128"/>
      <c r="D24" s="129"/>
      <c r="E24" s="130"/>
      <c r="F24" s="131"/>
      <c r="G24" s="132" t="str">
        <f t="shared" si="7"/>
        <v/>
      </c>
      <c r="H24" s="133" t="str">
        <f t="shared" si="8"/>
        <v/>
      </c>
      <c r="I24" s="134"/>
      <c r="J24" s="129"/>
      <c r="K24" s="130"/>
      <c r="L24" s="131"/>
      <c r="M24" s="132" t="str">
        <f t="shared" si="9"/>
        <v/>
      </c>
      <c r="N24" s="133" t="str">
        <f t="shared" si="10"/>
        <v/>
      </c>
      <c r="O24" s="134"/>
      <c r="P24" s="129"/>
      <c r="Q24" s="130"/>
      <c r="R24" s="131"/>
      <c r="S24" s="132" t="str">
        <f t="shared" si="11"/>
        <v/>
      </c>
      <c r="T24" s="133" t="str">
        <f t="shared" si="5"/>
        <v/>
      </c>
      <c r="U24" s="134"/>
      <c r="V24" s="129"/>
      <c r="W24" s="130"/>
      <c r="X24" s="131"/>
      <c r="Y24" s="132" t="str">
        <f t="shared" si="12"/>
        <v/>
      </c>
      <c r="Z24" s="133" t="str">
        <f t="shared" si="13"/>
        <v/>
      </c>
      <c r="AA24" s="128"/>
      <c r="AB24" s="129"/>
      <c r="AC24" s="130"/>
      <c r="AD24" s="131"/>
      <c r="AE24" s="132" t="str">
        <f t="shared" si="14"/>
        <v/>
      </c>
      <c r="AF24" s="133" t="str">
        <f t="shared" si="15"/>
        <v/>
      </c>
      <c r="AG24" s="316" t="str">
        <f t="shared" si="6"/>
        <v/>
      </c>
      <c r="AH24" s="317"/>
      <c r="AI24" s="25"/>
      <c r="AJ24" s="25"/>
      <c r="AP24" s="24" t="s">
        <v>26</v>
      </c>
      <c r="AR24" s="24" t="s">
        <v>27</v>
      </c>
    </row>
    <row r="25" spans="1:46" ht="15.75" customHeight="1" x14ac:dyDescent="0.2">
      <c r="A25" s="314" t="str">
        <f>IF($O$12&gt;3,A24+1,"")</f>
        <v/>
      </c>
      <c r="B25" s="315"/>
      <c r="C25" s="128"/>
      <c r="D25" s="129"/>
      <c r="E25" s="130"/>
      <c r="F25" s="131"/>
      <c r="G25" s="132" t="str">
        <f t="shared" si="7"/>
        <v/>
      </c>
      <c r="H25" s="133" t="str">
        <f t="shared" si="8"/>
        <v/>
      </c>
      <c r="I25" s="134"/>
      <c r="J25" s="129"/>
      <c r="K25" s="130"/>
      <c r="L25" s="131"/>
      <c r="M25" s="132" t="str">
        <f t="shared" si="9"/>
        <v/>
      </c>
      <c r="N25" s="133" t="str">
        <f t="shared" si="10"/>
        <v/>
      </c>
      <c r="O25" s="134"/>
      <c r="P25" s="129"/>
      <c r="Q25" s="130"/>
      <c r="R25" s="131"/>
      <c r="S25" s="132" t="str">
        <f t="shared" si="11"/>
        <v/>
      </c>
      <c r="T25" s="133" t="str">
        <f t="shared" si="5"/>
        <v/>
      </c>
      <c r="U25" s="134"/>
      <c r="V25" s="129"/>
      <c r="W25" s="130"/>
      <c r="X25" s="131"/>
      <c r="Y25" s="132" t="str">
        <f t="shared" si="12"/>
        <v/>
      </c>
      <c r="Z25" s="133" t="str">
        <f t="shared" si="13"/>
        <v/>
      </c>
      <c r="AA25" s="128"/>
      <c r="AB25" s="129"/>
      <c r="AC25" s="130"/>
      <c r="AD25" s="131"/>
      <c r="AE25" s="132" t="str">
        <f t="shared" si="14"/>
        <v/>
      </c>
      <c r="AF25" s="133" t="str">
        <f t="shared" si="15"/>
        <v/>
      </c>
      <c r="AG25" s="316" t="str">
        <f t="shared" si="6"/>
        <v/>
      </c>
      <c r="AH25" s="317"/>
      <c r="AI25" s="28"/>
      <c r="AJ25" s="28"/>
      <c r="AM25" s="24" t="s">
        <v>28</v>
      </c>
      <c r="AN25" s="24" t="s">
        <v>29</v>
      </c>
      <c r="AP25" s="24" t="s">
        <v>30</v>
      </c>
      <c r="AQ25" s="24" t="s">
        <v>31</v>
      </c>
      <c r="AR25" s="24" t="s">
        <v>30</v>
      </c>
      <c r="AS25" s="24" t="s">
        <v>32</v>
      </c>
      <c r="AT25" s="24" t="s">
        <v>33</v>
      </c>
    </row>
    <row r="26" spans="1:46" ht="15.75" customHeight="1" x14ac:dyDescent="0.2">
      <c r="A26" s="314" t="str">
        <f>IF($O$12&gt;4,A25+1,"")</f>
        <v/>
      </c>
      <c r="B26" s="315"/>
      <c r="C26" s="135"/>
      <c r="D26" s="136"/>
      <c r="E26" s="137"/>
      <c r="F26" s="138"/>
      <c r="G26" s="132" t="str">
        <f t="shared" si="7"/>
        <v/>
      </c>
      <c r="H26" s="133" t="str">
        <f t="shared" si="8"/>
        <v/>
      </c>
      <c r="I26" s="139"/>
      <c r="J26" s="136"/>
      <c r="K26" s="137"/>
      <c r="L26" s="138"/>
      <c r="M26" s="132" t="str">
        <f t="shared" si="9"/>
        <v/>
      </c>
      <c r="N26" s="133" t="str">
        <f t="shared" si="10"/>
        <v/>
      </c>
      <c r="O26" s="139"/>
      <c r="P26" s="136"/>
      <c r="Q26" s="137"/>
      <c r="R26" s="138"/>
      <c r="S26" s="132" t="str">
        <f t="shared" si="11"/>
        <v/>
      </c>
      <c r="T26" s="133" t="str">
        <f t="shared" si="5"/>
        <v/>
      </c>
      <c r="U26" s="139"/>
      <c r="V26" s="136"/>
      <c r="W26" s="137"/>
      <c r="X26" s="138"/>
      <c r="Y26" s="132" t="str">
        <f t="shared" si="12"/>
        <v/>
      </c>
      <c r="Z26" s="133" t="str">
        <f t="shared" si="13"/>
        <v/>
      </c>
      <c r="AA26" s="135"/>
      <c r="AB26" s="136"/>
      <c r="AC26" s="137"/>
      <c r="AD26" s="138"/>
      <c r="AE26" s="132" t="str">
        <f t="shared" si="14"/>
        <v/>
      </c>
      <c r="AF26" s="133" t="str">
        <f t="shared" si="15"/>
        <v/>
      </c>
      <c r="AG26" s="316" t="str">
        <f t="shared" si="6"/>
        <v/>
      </c>
      <c r="AH26" s="317"/>
      <c r="AI26" s="28"/>
      <c r="AJ26" s="28"/>
      <c r="AM26" s="24">
        <f>IF($AC$3="",0,+IF($AC$3=$AC$1,AP26,IF($Z$3=$Z$1,AR26,IF($AF$3=$AF$1,AS26,AT26))))</f>
        <v>0</v>
      </c>
      <c r="AN26" s="24" t="s">
        <v>37</v>
      </c>
      <c r="AO26" s="24" t="s">
        <v>38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</row>
    <row r="27" spans="1:46" ht="15.75" customHeight="1" x14ac:dyDescent="0.2">
      <c r="A27" s="314" t="str">
        <f>IF($O$12&gt;5,A26+1,"")</f>
        <v/>
      </c>
      <c r="B27" s="315"/>
      <c r="C27" s="135"/>
      <c r="D27" s="136"/>
      <c r="E27" s="137"/>
      <c r="F27" s="138"/>
      <c r="G27" s="132" t="str">
        <f t="shared" si="7"/>
        <v/>
      </c>
      <c r="H27" s="133" t="str">
        <f t="shared" si="8"/>
        <v/>
      </c>
      <c r="I27" s="139"/>
      <c r="J27" s="136"/>
      <c r="K27" s="137"/>
      <c r="L27" s="138"/>
      <c r="M27" s="132" t="str">
        <f t="shared" si="9"/>
        <v/>
      </c>
      <c r="N27" s="133" t="str">
        <f t="shared" si="10"/>
        <v/>
      </c>
      <c r="O27" s="139"/>
      <c r="P27" s="136"/>
      <c r="Q27" s="137"/>
      <c r="R27" s="138"/>
      <c r="S27" s="132" t="str">
        <f t="shared" si="11"/>
        <v/>
      </c>
      <c r="T27" s="133" t="str">
        <f t="shared" si="5"/>
        <v/>
      </c>
      <c r="U27" s="139"/>
      <c r="V27" s="136"/>
      <c r="W27" s="137"/>
      <c r="X27" s="138"/>
      <c r="Y27" s="132" t="str">
        <f t="shared" si="12"/>
        <v/>
      </c>
      <c r="Z27" s="133" t="str">
        <f t="shared" si="13"/>
        <v/>
      </c>
      <c r="AA27" s="135"/>
      <c r="AB27" s="136"/>
      <c r="AC27" s="137"/>
      <c r="AD27" s="138"/>
      <c r="AE27" s="132" t="str">
        <f t="shared" si="14"/>
        <v/>
      </c>
      <c r="AF27" s="133" t="str">
        <f t="shared" si="15"/>
        <v/>
      </c>
      <c r="AG27" s="316" t="str">
        <f t="shared" si="6"/>
        <v/>
      </c>
      <c r="AH27" s="317"/>
      <c r="AI27" s="28"/>
      <c r="AJ27" s="28"/>
      <c r="AM27" s="24">
        <f>IF($AC$3="",0,+IF($AC$3=$AC$1,AP27,IF($Z$3=$Z$1,AR27,IF($AF$3=$AF$1,AS27,AT27))))</f>
        <v>900</v>
      </c>
      <c r="AN27" s="24" t="s">
        <v>40</v>
      </c>
      <c r="AO27" s="24" t="s">
        <v>42</v>
      </c>
      <c r="AP27" s="24">
        <v>900</v>
      </c>
      <c r="AQ27" s="24">
        <v>900</v>
      </c>
      <c r="AR27" s="24">
        <v>1200</v>
      </c>
      <c r="AS27" s="24">
        <v>2700</v>
      </c>
      <c r="AT27" s="24">
        <v>2200</v>
      </c>
    </row>
    <row r="28" spans="1:46" ht="15.75" customHeight="1" thickBot="1" x14ac:dyDescent="0.25">
      <c r="A28" s="314" t="str">
        <f>IF($O$12&gt;6,A27+1,"")</f>
        <v/>
      </c>
      <c r="B28" s="315"/>
      <c r="C28" s="140"/>
      <c r="D28" s="141"/>
      <c r="E28" s="142"/>
      <c r="F28" s="143"/>
      <c r="G28" s="132" t="str">
        <f t="shared" si="7"/>
        <v/>
      </c>
      <c r="H28" s="144" t="str">
        <f t="shared" si="8"/>
        <v/>
      </c>
      <c r="I28" s="145"/>
      <c r="J28" s="141"/>
      <c r="K28" s="142"/>
      <c r="L28" s="143"/>
      <c r="M28" s="132" t="str">
        <f t="shared" si="9"/>
        <v/>
      </c>
      <c r="N28" s="144" t="str">
        <f t="shared" si="10"/>
        <v/>
      </c>
      <c r="O28" s="145"/>
      <c r="P28" s="141"/>
      <c r="Q28" s="142"/>
      <c r="R28" s="143"/>
      <c r="S28" s="132" t="str">
        <f t="shared" si="11"/>
        <v/>
      </c>
      <c r="T28" s="144" t="str">
        <f t="shared" si="5"/>
        <v/>
      </c>
      <c r="U28" s="145"/>
      <c r="V28" s="141"/>
      <c r="W28" s="142"/>
      <c r="X28" s="143"/>
      <c r="Y28" s="132" t="str">
        <f t="shared" si="12"/>
        <v/>
      </c>
      <c r="Z28" s="144" t="str">
        <f t="shared" si="13"/>
        <v/>
      </c>
      <c r="AA28" s="140"/>
      <c r="AB28" s="141"/>
      <c r="AC28" s="142"/>
      <c r="AD28" s="143"/>
      <c r="AE28" s="132" t="str">
        <f t="shared" si="14"/>
        <v/>
      </c>
      <c r="AF28" s="144" t="str">
        <f t="shared" si="15"/>
        <v/>
      </c>
      <c r="AG28" s="316" t="str">
        <f t="shared" si="6"/>
        <v/>
      </c>
      <c r="AH28" s="317"/>
      <c r="AI28" s="25"/>
      <c r="AJ28" s="25"/>
      <c r="AM28" s="24">
        <f>IF($AC$3="",0,+IF($AC$3=$AC$1,AP28,IF($Z$3=$Z$1,AR28,IF($AF$3=$AF$1,AS28,AT28))))</f>
        <v>1200</v>
      </c>
      <c r="AN28" s="24" t="s">
        <v>46</v>
      </c>
      <c r="AO28" s="24" t="s">
        <v>42</v>
      </c>
      <c r="AP28" s="24">
        <v>1200</v>
      </c>
      <c r="AQ28" s="24">
        <v>1200</v>
      </c>
      <c r="AR28" s="24">
        <v>1500</v>
      </c>
      <c r="AS28" s="24">
        <v>3000</v>
      </c>
      <c r="AT28" s="24">
        <v>2500</v>
      </c>
    </row>
    <row r="29" spans="1:46" ht="15.75" customHeight="1" x14ac:dyDescent="0.2">
      <c r="A29" s="318" t="s">
        <v>68</v>
      </c>
      <c r="B29" s="319"/>
      <c r="C29" s="146">
        <f>SUM(C22:C28)</f>
        <v>0</v>
      </c>
      <c r="D29" s="147"/>
      <c r="E29" s="148">
        <f>SUM(E22:E28)</f>
        <v>0</v>
      </c>
      <c r="F29" s="149"/>
      <c r="G29" s="150">
        <f>SUM(G22:G28)</f>
        <v>0</v>
      </c>
      <c r="H29" s="151"/>
      <c r="I29" s="146">
        <f>SUM(I22:I28)</f>
        <v>0</v>
      </c>
      <c r="J29" s="147"/>
      <c r="K29" s="148">
        <f>SUM(K22:K28)</f>
        <v>0</v>
      </c>
      <c r="L29" s="149"/>
      <c r="M29" s="150">
        <f>SUM(M22:M28)</f>
        <v>0</v>
      </c>
      <c r="N29" s="151"/>
      <c r="O29" s="146">
        <f>SUM(O22:O28)</f>
        <v>0</v>
      </c>
      <c r="P29" s="147"/>
      <c r="Q29" s="148">
        <f>SUM(Q22:Q28)</f>
        <v>0</v>
      </c>
      <c r="R29" s="149"/>
      <c r="S29" s="150">
        <f>SUM(S22:S28)</f>
        <v>0</v>
      </c>
      <c r="T29" s="151"/>
      <c r="U29" s="146">
        <f>SUM(U22:U28)</f>
        <v>0</v>
      </c>
      <c r="V29" s="147"/>
      <c r="W29" s="148">
        <f>SUM(W22:W28)</f>
        <v>0</v>
      </c>
      <c r="X29" s="149"/>
      <c r="Y29" s="150">
        <f>SUM(Y22:Y28)</f>
        <v>0</v>
      </c>
      <c r="Z29" s="151"/>
      <c r="AA29" s="146">
        <f>SUM(AA22:AA28)</f>
        <v>0</v>
      </c>
      <c r="AB29" s="147"/>
      <c r="AC29" s="148">
        <f>SUM(AC22:AC28)</f>
        <v>0</v>
      </c>
      <c r="AD29" s="149"/>
      <c r="AE29" s="150">
        <f>SUM(AE22:AE28)</f>
        <v>0</v>
      </c>
      <c r="AF29" s="151"/>
      <c r="AG29" s="320">
        <f>+G29+M29+S29+Y29+AE29</f>
        <v>0</v>
      </c>
      <c r="AH29" s="321"/>
      <c r="AI29" s="25"/>
      <c r="AJ29" s="25"/>
      <c r="AM29" s="24">
        <f>IF($AC$3="",0,+IF($AC$3=$AC$1,AP29,IF($Z$3=$Z$1,AR29,IF($AF$3=$AF$1,AS29,AT29))))</f>
        <v>1200</v>
      </c>
      <c r="AN29" s="24" t="s">
        <v>48</v>
      </c>
      <c r="AO29" s="24" t="s">
        <v>42</v>
      </c>
      <c r="AP29" s="24">
        <v>1200</v>
      </c>
      <c r="AQ29" s="24">
        <v>1200</v>
      </c>
      <c r="AR29" s="24">
        <v>1500</v>
      </c>
      <c r="AS29" s="24">
        <v>3000</v>
      </c>
      <c r="AT29" s="24">
        <v>2500</v>
      </c>
    </row>
    <row r="30" spans="1:46" ht="15.75" customHeight="1" x14ac:dyDescent="0.2">
      <c r="A30" s="322" t="s">
        <v>69</v>
      </c>
      <c r="B30" s="323"/>
      <c r="C30" s="152"/>
      <c r="D30" s="153">
        <f>SUM(D22:D28)</f>
        <v>0</v>
      </c>
      <c r="E30" s="154"/>
      <c r="F30" s="155">
        <f>SUM(F22:F28)</f>
        <v>0</v>
      </c>
      <c r="G30" s="152"/>
      <c r="H30" s="156">
        <f>SUM(H22:H28)</f>
        <v>0</v>
      </c>
      <c r="I30" s="152"/>
      <c r="J30" s="153">
        <f>SUM(J22:J28)</f>
        <v>0</v>
      </c>
      <c r="K30" s="154"/>
      <c r="L30" s="155">
        <f>SUM(L22:L28)</f>
        <v>0</v>
      </c>
      <c r="M30" s="152"/>
      <c r="N30" s="156">
        <f>SUM(N22:N28)</f>
        <v>0</v>
      </c>
      <c r="O30" s="152"/>
      <c r="P30" s="153">
        <f>SUM(P22:P28)</f>
        <v>0</v>
      </c>
      <c r="Q30" s="154"/>
      <c r="R30" s="155">
        <f>SUM(R22:R28)</f>
        <v>0</v>
      </c>
      <c r="S30" s="152"/>
      <c r="T30" s="156">
        <f>SUM(T22:T28)</f>
        <v>0</v>
      </c>
      <c r="U30" s="152"/>
      <c r="V30" s="153">
        <f>SUM(V22:V28)</f>
        <v>0</v>
      </c>
      <c r="W30" s="154"/>
      <c r="X30" s="155">
        <f>SUM(X22:X28)</f>
        <v>0</v>
      </c>
      <c r="Y30" s="152"/>
      <c r="Z30" s="156">
        <f>SUM(Z22:Z28)</f>
        <v>0</v>
      </c>
      <c r="AA30" s="152"/>
      <c r="AB30" s="153">
        <f>SUM(AB22:AB28)</f>
        <v>0</v>
      </c>
      <c r="AC30" s="154"/>
      <c r="AD30" s="155">
        <f>SUM(AD22:AD28)</f>
        <v>0</v>
      </c>
      <c r="AE30" s="152"/>
      <c r="AF30" s="156">
        <f>SUM(AF22:AF28)</f>
        <v>0</v>
      </c>
      <c r="AG30" s="324">
        <f>+H30+N30+T30+Z30+AF30</f>
        <v>0</v>
      </c>
      <c r="AH30" s="317"/>
      <c r="AI30" s="25"/>
      <c r="AJ30" s="25"/>
      <c r="AM30" s="24">
        <f>IF($AC$3="",0,+IF($AC$3=$AC$1,AP30,IF($Z$3=$Z$1,AR30,IF($AF$3=$AF$1,AS30,AT30))))</f>
        <v>1200</v>
      </c>
      <c r="AN30" s="24" t="s">
        <v>53</v>
      </c>
      <c r="AO30" s="24" t="s">
        <v>42</v>
      </c>
      <c r="AP30" s="24">
        <v>1200</v>
      </c>
      <c r="AQ30" s="24">
        <v>1200</v>
      </c>
      <c r="AR30" s="24">
        <v>1900</v>
      </c>
      <c r="AS30" s="24">
        <v>3400</v>
      </c>
      <c r="AT30" s="24">
        <v>2900</v>
      </c>
    </row>
    <row r="31" spans="1:46" ht="15.75" customHeight="1" thickBot="1" x14ac:dyDescent="0.25">
      <c r="A31" s="312" t="s">
        <v>70</v>
      </c>
      <c r="B31" s="313"/>
      <c r="C31" s="293">
        <f>+C29-D30</f>
        <v>0</v>
      </c>
      <c r="D31" s="294"/>
      <c r="E31" s="294">
        <f>+E29-F30</f>
        <v>0</v>
      </c>
      <c r="F31" s="295"/>
      <c r="G31" s="291">
        <f>+G29-H30</f>
        <v>0</v>
      </c>
      <c r="H31" s="292"/>
      <c r="I31" s="293">
        <f>+I29-J30</f>
        <v>0</v>
      </c>
      <c r="J31" s="294"/>
      <c r="K31" s="294">
        <f>+K29-L30</f>
        <v>0</v>
      </c>
      <c r="L31" s="295"/>
      <c r="M31" s="291">
        <f>+M29-N30</f>
        <v>0</v>
      </c>
      <c r="N31" s="292"/>
      <c r="O31" s="293">
        <f>+O29-P30</f>
        <v>0</v>
      </c>
      <c r="P31" s="294"/>
      <c r="Q31" s="294">
        <f>+Q29-R30</f>
        <v>0</v>
      </c>
      <c r="R31" s="295"/>
      <c r="S31" s="291">
        <f>+S29-T30</f>
        <v>0</v>
      </c>
      <c r="T31" s="292"/>
      <c r="U31" s="293">
        <f>+U29-V30</f>
        <v>0</v>
      </c>
      <c r="V31" s="294"/>
      <c r="W31" s="294">
        <f>+W29-X30</f>
        <v>0</v>
      </c>
      <c r="X31" s="295"/>
      <c r="Y31" s="291">
        <f>+Y29-Z30</f>
        <v>0</v>
      </c>
      <c r="Z31" s="292"/>
      <c r="AA31" s="293">
        <f>+AA29-AB30</f>
        <v>0</v>
      </c>
      <c r="AB31" s="294"/>
      <c r="AC31" s="294">
        <f>+AC29-AD30</f>
        <v>0</v>
      </c>
      <c r="AD31" s="295"/>
      <c r="AE31" s="291">
        <f>+AE29-AF30</f>
        <v>0</v>
      </c>
      <c r="AF31" s="292"/>
      <c r="AG31" s="293">
        <f>+G31+M31+S31+Y31+AE31</f>
        <v>0</v>
      </c>
      <c r="AH31" s="296"/>
      <c r="AI31" s="25"/>
      <c r="AJ31" s="25"/>
    </row>
    <row r="32" spans="1:46" ht="15.75" customHeight="1" thickBot="1" x14ac:dyDescent="0.25">
      <c r="A32" s="192"/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3"/>
      <c r="P32" s="193"/>
      <c r="Q32" s="193"/>
      <c r="R32" s="193"/>
      <c r="S32" s="193"/>
      <c r="T32" s="193"/>
      <c r="U32" s="193"/>
      <c r="V32" s="193"/>
      <c r="W32" s="193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J32" s="25"/>
    </row>
    <row r="33" spans="1:57" ht="15.75" customHeight="1" x14ac:dyDescent="0.2">
      <c r="A33" s="297"/>
      <c r="B33" s="298"/>
      <c r="C33" s="298"/>
      <c r="D33" s="301" t="s">
        <v>71</v>
      </c>
      <c r="E33" s="301"/>
      <c r="F33" s="301"/>
      <c r="G33" s="301"/>
      <c r="H33" s="301"/>
      <c r="I33" s="301"/>
      <c r="J33" s="301"/>
      <c r="K33" s="301" t="s">
        <v>0</v>
      </c>
      <c r="L33" s="301"/>
      <c r="M33" s="301"/>
      <c r="N33" s="303"/>
      <c r="O33" s="25"/>
      <c r="P33" s="306" t="s">
        <v>72</v>
      </c>
      <c r="Q33" s="308">
        <f>F5</f>
        <v>0</v>
      </c>
      <c r="R33" s="308"/>
      <c r="S33" s="308"/>
      <c r="T33" s="308"/>
      <c r="U33" s="308"/>
      <c r="V33" s="309"/>
      <c r="W33" s="25"/>
      <c r="X33" s="306" t="str">
        <f>+P33</f>
        <v>宛名</v>
      </c>
      <c r="Y33" s="308" t="s">
        <v>73</v>
      </c>
      <c r="Z33" s="308"/>
      <c r="AA33" s="308"/>
      <c r="AB33" s="308"/>
      <c r="AC33" s="308"/>
      <c r="AD33" s="309"/>
      <c r="AE33" s="28"/>
      <c r="AF33" s="29" t="str">
        <f>+IF($AF$7=AF5,"","被仕向送金手数料")</f>
        <v/>
      </c>
      <c r="AG33" s="28"/>
      <c r="AJ33" s="25"/>
    </row>
    <row r="34" spans="1:57" ht="15.75" customHeight="1" x14ac:dyDescent="0.2">
      <c r="A34" s="299"/>
      <c r="B34" s="300"/>
      <c r="C34" s="300"/>
      <c r="D34" s="302"/>
      <c r="E34" s="302"/>
      <c r="F34" s="302"/>
      <c r="G34" s="302"/>
      <c r="H34" s="302"/>
      <c r="I34" s="302"/>
      <c r="J34" s="302"/>
      <c r="K34" s="304"/>
      <c r="L34" s="304"/>
      <c r="M34" s="304"/>
      <c r="N34" s="305"/>
      <c r="O34" s="178"/>
      <c r="P34" s="307"/>
      <c r="Q34" s="310"/>
      <c r="R34" s="310"/>
      <c r="S34" s="310"/>
      <c r="T34" s="310"/>
      <c r="U34" s="310"/>
      <c r="V34" s="311"/>
      <c r="W34" s="171"/>
      <c r="X34" s="307"/>
      <c r="Y34" s="310"/>
      <c r="Z34" s="310"/>
      <c r="AA34" s="310"/>
      <c r="AB34" s="310"/>
      <c r="AC34" s="310"/>
      <c r="AD34" s="311"/>
      <c r="AG34" s="30" t="str">
        <f>+IF(AF33="","","加算金")</f>
        <v/>
      </c>
    </row>
    <row r="35" spans="1:57" ht="15.75" customHeight="1" x14ac:dyDescent="0.2">
      <c r="A35" s="269" t="s">
        <v>41</v>
      </c>
      <c r="B35" s="270" t="str">
        <f>+AN5</f>
        <v>3歳未満</v>
      </c>
      <c r="C35" s="270"/>
      <c r="D35" s="271">
        <f>+AM5</f>
        <v>0</v>
      </c>
      <c r="E35" s="272"/>
      <c r="F35" s="273">
        <f>+G31</f>
        <v>0</v>
      </c>
      <c r="G35" s="273"/>
      <c r="H35" s="274">
        <f t="shared" ref="H35:H40" si="16">+D35*F35</f>
        <v>0</v>
      </c>
      <c r="I35" s="274"/>
      <c r="J35" s="157" t="s">
        <v>74</v>
      </c>
      <c r="K35" s="275">
        <f>SUM(H35:I40)</f>
        <v>0</v>
      </c>
      <c r="L35" s="276"/>
      <c r="M35" s="276"/>
      <c r="N35" s="277"/>
      <c r="O35" s="194"/>
      <c r="P35" s="250">
        <f t="shared" ref="P35:P40" si="17">+X35</f>
        <v>0</v>
      </c>
      <c r="Q35" s="251"/>
      <c r="R35" s="284">
        <f t="shared" ref="R35:R40" si="18">+F35-Z35</f>
        <v>0</v>
      </c>
      <c r="S35" s="284"/>
      <c r="T35" s="252">
        <f t="shared" ref="T35:T40" si="19">+P35*R35</f>
        <v>0</v>
      </c>
      <c r="U35" s="252"/>
      <c r="V35" s="195" t="s">
        <v>74</v>
      </c>
      <c r="X35" s="250">
        <f t="shared" ref="X35:X40" si="20">+D35</f>
        <v>0</v>
      </c>
      <c r="Y35" s="251"/>
      <c r="Z35" s="158"/>
      <c r="AA35" s="159" t="s">
        <v>75</v>
      </c>
      <c r="AB35" s="252">
        <f t="shared" ref="AB35:AB40" si="21">+X35*Z35</f>
        <v>0</v>
      </c>
      <c r="AC35" s="252"/>
      <c r="AD35" s="195" t="s">
        <v>74</v>
      </c>
      <c r="AG35" s="253" t="str">
        <f>+IF(AF33="","",2000)</f>
        <v/>
      </c>
      <c r="AH35" s="253"/>
      <c r="AM35" s="237" t="s">
        <v>156</v>
      </c>
      <c r="AN35" s="238">
        <f>K35</f>
        <v>0</v>
      </c>
    </row>
    <row r="36" spans="1:57" ht="15.75" customHeight="1" x14ac:dyDescent="0.2">
      <c r="A36" s="269"/>
      <c r="B36" s="268" t="str">
        <f>+AN6</f>
        <v>中学生以下</v>
      </c>
      <c r="C36" s="268"/>
      <c r="D36" s="264">
        <f>+AM6</f>
        <v>300</v>
      </c>
      <c r="E36" s="245"/>
      <c r="F36" s="265">
        <f>+M31</f>
        <v>0</v>
      </c>
      <c r="G36" s="265"/>
      <c r="H36" s="266">
        <f t="shared" si="16"/>
        <v>0</v>
      </c>
      <c r="I36" s="266"/>
      <c r="J36" s="160" t="s">
        <v>74</v>
      </c>
      <c r="K36" s="278"/>
      <c r="L36" s="279"/>
      <c r="M36" s="279"/>
      <c r="N36" s="280"/>
      <c r="O36" s="194"/>
      <c r="P36" s="245">
        <f t="shared" si="17"/>
        <v>300</v>
      </c>
      <c r="Q36" s="246"/>
      <c r="R36" s="267">
        <f t="shared" si="18"/>
        <v>0</v>
      </c>
      <c r="S36" s="267"/>
      <c r="T36" s="247">
        <f t="shared" si="19"/>
        <v>0</v>
      </c>
      <c r="U36" s="247"/>
      <c r="V36" s="196" t="s">
        <v>74</v>
      </c>
      <c r="X36" s="245">
        <f t="shared" si="20"/>
        <v>300</v>
      </c>
      <c r="Y36" s="246"/>
      <c r="Z36" s="161"/>
      <c r="AA36" s="162" t="s">
        <v>75</v>
      </c>
      <c r="AB36" s="247">
        <f t="shared" si="21"/>
        <v>0</v>
      </c>
      <c r="AC36" s="247"/>
      <c r="AD36" s="196" t="s">
        <v>74</v>
      </c>
      <c r="AG36" s="253"/>
      <c r="AH36" s="253"/>
      <c r="AM36" s="237"/>
      <c r="AN36" s="237"/>
    </row>
    <row r="37" spans="1:57" ht="15.75" customHeight="1" x14ac:dyDescent="0.2">
      <c r="A37" s="269"/>
      <c r="B37" s="268" t="str">
        <f>+AN8</f>
        <v>高校・大学・23歳未満</v>
      </c>
      <c r="C37" s="268"/>
      <c r="D37" s="264">
        <f>+AM8</f>
        <v>600</v>
      </c>
      <c r="E37" s="245"/>
      <c r="F37" s="265">
        <f>+S31</f>
        <v>0</v>
      </c>
      <c r="G37" s="265"/>
      <c r="H37" s="266">
        <f t="shared" si="16"/>
        <v>0</v>
      </c>
      <c r="I37" s="266"/>
      <c r="J37" s="160" t="s">
        <v>74</v>
      </c>
      <c r="K37" s="278"/>
      <c r="L37" s="279"/>
      <c r="M37" s="279"/>
      <c r="N37" s="280"/>
      <c r="O37" s="194"/>
      <c r="P37" s="245">
        <f t="shared" si="17"/>
        <v>600</v>
      </c>
      <c r="Q37" s="246"/>
      <c r="R37" s="267">
        <f t="shared" si="18"/>
        <v>0</v>
      </c>
      <c r="S37" s="267"/>
      <c r="T37" s="247">
        <f t="shared" si="19"/>
        <v>0</v>
      </c>
      <c r="U37" s="247"/>
      <c r="V37" s="196" t="s">
        <v>74</v>
      </c>
      <c r="X37" s="245">
        <f t="shared" si="20"/>
        <v>600</v>
      </c>
      <c r="Y37" s="246"/>
      <c r="Z37" s="161"/>
      <c r="AA37" s="162" t="s">
        <v>75</v>
      </c>
      <c r="AB37" s="247">
        <f t="shared" si="21"/>
        <v>0</v>
      </c>
      <c r="AC37" s="247"/>
      <c r="AD37" s="196" t="s">
        <v>74</v>
      </c>
      <c r="AE37" s="248" t="str">
        <f>+IF(AF33="","","合計金額 "&amp;TEXT(K35+AG35,"#,##0")&amp;"円")</f>
        <v/>
      </c>
      <c r="AF37" s="249"/>
      <c r="AG37" s="249"/>
      <c r="AH37" s="249"/>
      <c r="AI37" s="249"/>
      <c r="AJ37" s="249"/>
      <c r="AM37" s="237" t="s">
        <v>157</v>
      </c>
      <c r="AN37" s="238">
        <f>計算シート②!Y6</f>
        <v>0</v>
      </c>
    </row>
    <row r="38" spans="1:57" s="31" customFormat="1" ht="15.75" customHeight="1" x14ac:dyDescent="0.2">
      <c r="A38" s="269"/>
      <c r="B38" s="268" t="str">
        <f>+AN10</f>
        <v>教職員</v>
      </c>
      <c r="C38" s="268"/>
      <c r="D38" s="264">
        <f>+AM10</f>
        <v>600</v>
      </c>
      <c r="E38" s="245"/>
      <c r="F38" s="265">
        <f>+Y31</f>
        <v>0</v>
      </c>
      <c r="G38" s="265"/>
      <c r="H38" s="266">
        <f t="shared" si="16"/>
        <v>0</v>
      </c>
      <c r="I38" s="266"/>
      <c r="J38" s="160" t="s">
        <v>74</v>
      </c>
      <c r="K38" s="278"/>
      <c r="L38" s="279"/>
      <c r="M38" s="279"/>
      <c r="N38" s="280"/>
      <c r="O38" s="194"/>
      <c r="P38" s="245">
        <f t="shared" si="17"/>
        <v>600</v>
      </c>
      <c r="Q38" s="246"/>
      <c r="R38" s="267">
        <f t="shared" si="18"/>
        <v>0</v>
      </c>
      <c r="S38" s="267"/>
      <c r="T38" s="247">
        <f t="shared" si="19"/>
        <v>0</v>
      </c>
      <c r="U38" s="247"/>
      <c r="V38" s="196" t="s">
        <v>74</v>
      </c>
      <c r="X38" s="245">
        <f t="shared" si="20"/>
        <v>600</v>
      </c>
      <c r="Y38" s="246"/>
      <c r="Z38" s="161"/>
      <c r="AA38" s="162" t="s">
        <v>75</v>
      </c>
      <c r="AB38" s="247">
        <f t="shared" si="21"/>
        <v>0</v>
      </c>
      <c r="AC38" s="247"/>
      <c r="AD38" s="196" t="s">
        <v>74</v>
      </c>
      <c r="AE38" s="248"/>
      <c r="AF38" s="249"/>
      <c r="AG38" s="249"/>
      <c r="AH38" s="249"/>
      <c r="AI38" s="249"/>
      <c r="AJ38" s="249"/>
      <c r="AK38" s="24"/>
      <c r="AL38" s="24"/>
      <c r="AM38" s="237"/>
      <c r="AN38" s="238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s="31" customFormat="1" ht="15.75" customHeight="1" x14ac:dyDescent="0.2">
      <c r="A39" s="269"/>
      <c r="B39" s="285" t="str">
        <f>+AA20</f>
        <v>大人等</v>
      </c>
      <c r="C39" s="285"/>
      <c r="D39" s="286">
        <f>+AM12</f>
        <v>600</v>
      </c>
      <c r="E39" s="287"/>
      <c r="F39" s="288">
        <f>+AE31</f>
        <v>0</v>
      </c>
      <c r="G39" s="288"/>
      <c r="H39" s="289">
        <f t="shared" si="16"/>
        <v>0</v>
      </c>
      <c r="I39" s="289"/>
      <c r="J39" s="163" t="s">
        <v>74</v>
      </c>
      <c r="K39" s="278"/>
      <c r="L39" s="279"/>
      <c r="M39" s="279"/>
      <c r="N39" s="280"/>
      <c r="P39" s="239">
        <f t="shared" si="17"/>
        <v>600</v>
      </c>
      <c r="Q39" s="240"/>
      <c r="R39" s="290">
        <f t="shared" si="18"/>
        <v>0</v>
      </c>
      <c r="S39" s="290"/>
      <c r="T39" s="244">
        <f t="shared" si="19"/>
        <v>0</v>
      </c>
      <c r="U39" s="244"/>
      <c r="V39" s="197" t="s">
        <v>74</v>
      </c>
      <c r="X39" s="239">
        <f t="shared" si="20"/>
        <v>600</v>
      </c>
      <c r="Y39" s="240"/>
      <c r="Z39" s="164"/>
      <c r="AA39" s="165" t="s">
        <v>75</v>
      </c>
      <c r="AB39" s="244">
        <f t="shared" si="21"/>
        <v>0</v>
      </c>
      <c r="AC39" s="244"/>
      <c r="AD39" s="197" t="s">
        <v>74</v>
      </c>
      <c r="AK39" s="24"/>
      <c r="AL39" s="24"/>
      <c r="AM39" s="237" t="s">
        <v>158</v>
      </c>
      <c r="AN39" s="238">
        <f>SUM(AN35:AN38)</f>
        <v>0</v>
      </c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s="31" customFormat="1" ht="15.75" customHeight="1" thickBot="1" x14ac:dyDescent="0.25">
      <c r="A40" s="254" t="s">
        <v>76</v>
      </c>
      <c r="B40" s="255"/>
      <c r="C40" s="255"/>
      <c r="D40" s="256">
        <f>+AM13</f>
        <v>600</v>
      </c>
      <c r="E40" s="257"/>
      <c r="F40" s="258">
        <f>AG31-G31</f>
        <v>0</v>
      </c>
      <c r="G40" s="258"/>
      <c r="H40" s="259">
        <f t="shared" si="16"/>
        <v>0</v>
      </c>
      <c r="I40" s="259"/>
      <c r="J40" s="166" t="s">
        <v>77</v>
      </c>
      <c r="K40" s="281"/>
      <c r="L40" s="282"/>
      <c r="M40" s="282"/>
      <c r="N40" s="283"/>
      <c r="P40" s="260">
        <f t="shared" si="17"/>
        <v>600</v>
      </c>
      <c r="Q40" s="261"/>
      <c r="R40" s="262">
        <f t="shared" si="18"/>
        <v>0</v>
      </c>
      <c r="S40" s="262"/>
      <c r="T40" s="263">
        <f t="shared" si="19"/>
        <v>0</v>
      </c>
      <c r="U40" s="263"/>
      <c r="V40" s="198" t="s">
        <v>77</v>
      </c>
      <c r="X40" s="260">
        <f t="shared" si="20"/>
        <v>600</v>
      </c>
      <c r="Y40" s="261"/>
      <c r="Z40" s="167"/>
      <c r="AA40" s="168" t="s">
        <v>78</v>
      </c>
      <c r="AB40" s="263">
        <f t="shared" si="21"/>
        <v>0</v>
      </c>
      <c r="AC40" s="263"/>
      <c r="AD40" s="198" t="s">
        <v>77</v>
      </c>
      <c r="AK40" s="24"/>
      <c r="AL40" s="24"/>
      <c r="AM40" s="237"/>
      <c r="AN40" s="237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s="31" customFormat="1" ht="15.75" customHeight="1" thickTop="1" x14ac:dyDescent="0.2">
      <c r="A41" s="199"/>
      <c r="B41" s="199"/>
      <c r="C41" s="199"/>
      <c r="D41" s="200"/>
      <c r="E41" s="201"/>
      <c r="F41" s="202"/>
      <c r="G41" s="202"/>
      <c r="H41" s="203"/>
      <c r="I41" s="203"/>
      <c r="J41" s="32"/>
      <c r="K41" s="204"/>
      <c r="L41" s="204"/>
      <c r="M41" s="204"/>
      <c r="N41" s="204"/>
      <c r="P41" s="241" t="s">
        <v>0</v>
      </c>
      <c r="Q41" s="242"/>
      <c r="R41" s="242"/>
      <c r="S41" s="242"/>
      <c r="T41" s="243">
        <f>SUM(T35:U40)</f>
        <v>0</v>
      </c>
      <c r="U41" s="243"/>
      <c r="V41" s="205" t="s">
        <v>77</v>
      </c>
      <c r="X41" s="241" t="str">
        <f>+P41</f>
        <v>合計</v>
      </c>
      <c r="Y41" s="242"/>
      <c r="Z41" s="242"/>
      <c r="AA41" s="242"/>
      <c r="AB41" s="243">
        <f>SUM(AB35:AC40)</f>
        <v>0</v>
      </c>
      <c r="AC41" s="243"/>
      <c r="AD41" s="205" t="s">
        <v>77</v>
      </c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s="31" customFormat="1" ht="15.75" customHeight="1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s="31" customFormat="1" ht="15.75" customHeight="1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s="31" customFormat="1" ht="15.75" customHeight="1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s="31" customFormat="1" ht="15.75" customHeigh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s="31" customFormat="1" ht="15.75" customHeight="1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s="31" customFormat="1" ht="15.75" customHeight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s="31" customFormat="1" ht="15.75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s="31" customFormat="1" ht="15.75" customHeight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s="31" customFormat="1" ht="15.75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s="31" customFormat="1" ht="15.75" customHeight="1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s="31" customFormat="1" ht="15.75" customHeight="1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s="31" customFormat="1" ht="15.75" customHeight="1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s="31" customFormat="1" ht="15.75" customHeight="1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s="31" customFormat="1" ht="15.75" customHeight="1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s="31" customFormat="1" ht="15.75" customHeight="1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s="31" customFormat="1" ht="15.75" customHeight="1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s="31" customFormat="1" ht="15.75" customHeight="1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60" spans="1:57" ht="15.75" customHeight="1" x14ac:dyDescent="0.2">
      <c r="AZ60" s="31"/>
      <c r="BA60" s="31"/>
      <c r="BB60" s="31"/>
    </row>
    <row r="61" spans="1:57" ht="15.75" customHeight="1" x14ac:dyDescent="0.2">
      <c r="AZ61" s="31"/>
      <c r="BA61" s="31"/>
      <c r="BB61" s="31"/>
    </row>
    <row r="62" spans="1:57" ht="15.75" customHeight="1" x14ac:dyDescent="0.2">
      <c r="AZ62" s="31"/>
      <c r="BA62" s="31"/>
      <c r="BB62" s="31"/>
      <c r="BC62" s="31"/>
      <c r="BD62" s="31"/>
      <c r="BE62" s="31"/>
    </row>
    <row r="63" spans="1:57" ht="15.75" customHeight="1" x14ac:dyDescent="0.2">
      <c r="AZ63" s="31"/>
      <c r="BA63" s="31"/>
      <c r="BB63" s="31"/>
      <c r="BC63" s="31"/>
      <c r="BD63" s="31"/>
      <c r="BE63" s="31"/>
    </row>
    <row r="64" spans="1:57" ht="15.75" customHeight="1" x14ac:dyDescent="0.2">
      <c r="AZ64" s="31"/>
      <c r="BA64" s="31"/>
      <c r="BB64" s="31"/>
      <c r="BC64" s="31"/>
      <c r="BD64" s="31"/>
      <c r="BE64" s="31"/>
    </row>
    <row r="65" spans="52:57" ht="15.75" customHeight="1" x14ac:dyDescent="0.2">
      <c r="AZ65" s="31"/>
      <c r="BA65" s="31"/>
      <c r="BB65" s="31"/>
      <c r="BC65" s="31"/>
      <c r="BD65" s="31"/>
      <c r="BE65" s="31"/>
    </row>
    <row r="66" spans="52:57" ht="15.75" customHeight="1" x14ac:dyDescent="0.2">
      <c r="AZ66" s="31"/>
      <c r="BA66" s="31"/>
      <c r="BB66" s="31"/>
      <c r="BC66" s="31"/>
      <c r="BD66" s="31"/>
      <c r="BE66" s="31"/>
    </row>
    <row r="67" spans="52:57" ht="15.75" customHeight="1" x14ac:dyDescent="0.2">
      <c r="AZ67" s="31"/>
      <c r="BA67" s="31"/>
      <c r="BB67" s="31"/>
      <c r="BC67" s="31"/>
      <c r="BD67" s="31"/>
      <c r="BE67" s="31"/>
    </row>
    <row r="68" spans="52:57" ht="15.75" customHeight="1" x14ac:dyDescent="0.2">
      <c r="AZ68" s="31"/>
      <c r="BA68" s="31"/>
      <c r="BB68" s="31"/>
      <c r="BC68" s="31"/>
      <c r="BD68" s="31"/>
      <c r="BE68" s="31"/>
    </row>
    <row r="69" spans="52:57" ht="15.75" customHeight="1" x14ac:dyDescent="0.2">
      <c r="AZ69" s="31"/>
      <c r="BA69" s="31"/>
      <c r="BB69" s="31"/>
      <c r="BC69" s="31"/>
      <c r="BD69" s="31"/>
      <c r="BE69" s="31"/>
    </row>
    <row r="70" spans="52:57" ht="15.75" customHeight="1" x14ac:dyDescent="0.2">
      <c r="AZ70" s="31"/>
      <c r="BA70" s="31"/>
      <c r="BB70" s="31"/>
      <c r="BC70" s="31"/>
      <c r="BD70" s="31"/>
      <c r="BE70" s="31"/>
    </row>
    <row r="71" spans="52:57" ht="15.75" customHeight="1" x14ac:dyDescent="0.2">
      <c r="AZ71" s="31"/>
      <c r="BA71" s="31"/>
      <c r="BB71" s="31"/>
      <c r="BC71" s="31"/>
      <c r="BD71" s="31"/>
      <c r="BE71" s="31"/>
    </row>
    <row r="72" spans="52:57" ht="15.75" customHeight="1" x14ac:dyDescent="0.2">
      <c r="AZ72" s="31"/>
      <c r="BA72" s="31"/>
      <c r="BB72" s="31"/>
      <c r="BC72" s="31"/>
      <c r="BD72" s="31"/>
      <c r="BE72" s="31"/>
    </row>
    <row r="73" spans="52:57" ht="15.75" customHeight="1" x14ac:dyDescent="0.2">
      <c r="AZ73" s="31"/>
      <c r="BA73" s="31"/>
      <c r="BB73" s="31"/>
      <c r="BC73" s="31"/>
      <c r="BD73" s="31"/>
      <c r="BE73" s="31"/>
    </row>
    <row r="74" spans="52:57" ht="15.75" customHeight="1" x14ac:dyDescent="0.2">
      <c r="AZ74" s="31"/>
      <c r="BA74" s="31"/>
      <c r="BB74" s="31"/>
      <c r="BC74" s="31"/>
      <c r="BD74" s="31"/>
      <c r="BE74" s="31"/>
    </row>
    <row r="75" spans="52:57" ht="15.75" customHeight="1" x14ac:dyDescent="0.2">
      <c r="AZ75" s="31"/>
      <c r="BA75" s="31"/>
      <c r="BB75" s="31"/>
      <c r="BC75" s="31"/>
      <c r="BD75" s="31"/>
      <c r="BE75" s="31"/>
    </row>
    <row r="76" spans="52:57" ht="15.75" customHeight="1" x14ac:dyDescent="0.2">
      <c r="AZ76" s="31"/>
      <c r="BA76" s="31"/>
      <c r="BB76" s="31"/>
      <c r="BC76" s="31"/>
      <c r="BD76" s="31"/>
      <c r="BE76" s="31"/>
    </row>
    <row r="77" spans="52:57" ht="15.75" customHeight="1" x14ac:dyDescent="0.2">
      <c r="BC77" s="31"/>
      <c r="BD77" s="31"/>
      <c r="BE77" s="31"/>
    </row>
    <row r="78" spans="52:57" ht="15.75" customHeight="1" x14ac:dyDescent="0.2">
      <c r="BC78" s="31"/>
      <c r="BD78" s="31"/>
      <c r="BE78" s="31"/>
    </row>
    <row r="79" spans="52:57" ht="15.75" customHeight="1" x14ac:dyDescent="0.2">
      <c r="BC79" s="31"/>
      <c r="BD79" s="31"/>
      <c r="BE79" s="31"/>
    </row>
    <row r="80" spans="52:57" ht="15.75" customHeight="1" x14ac:dyDescent="0.2">
      <c r="BC80" s="31"/>
      <c r="BD80" s="31"/>
      <c r="BE80" s="31"/>
    </row>
    <row r="81" spans="55:57" ht="15.75" customHeight="1" x14ac:dyDescent="0.2">
      <c r="BC81" s="31"/>
      <c r="BD81" s="31"/>
      <c r="BE81" s="31"/>
    </row>
  </sheetData>
  <sheetProtection sheet="1" objects="1" scenarios="1" selectLockedCells="1"/>
  <mergeCells count="199">
    <mergeCell ref="A1:O2"/>
    <mergeCell ref="U1:U3"/>
    <mergeCell ref="V1:W3"/>
    <mergeCell ref="Z1:AA1"/>
    <mergeCell ref="AC1:AD1"/>
    <mergeCell ref="AF1:AG1"/>
    <mergeCell ref="Z2:AA2"/>
    <mergeCell ref="AC2:AD2"/>
    <mergeCell ref="AF2:AG2"/>
    <mergeCell ref="C3:F3"/>
    <mergeCell ref="G3:O3"/>
    <mergeCell ref="Z3:AA3"/>
    <mergeCell ref="AC3:AD3"/>
    <mergeCell ref="AF3:AG3"/>
    <mergeCell ref="A5:B10"/>
    <mergeCell ref="C5:E6"/>
    <mergeCell ref="F5:W6"/>
    <mergeCell ref="AF5:AG5"/>
    <mergeCell ref="AF6:AG6"/>
    <mergeCell ref="C7:E8"/>
    <mergeCell ref="A12:B13"/>
    <mergeCell ref="C12:G13"/>
    <mergeCell ref="H12:I13"/>
    <mergeCell ref="J12:N13"/>
    <mergeCell ref="O12:Q13"/>
    <mergeCell ref="R12:R13"/>
    <mergeCell ref="F7:W8"/>
    <mergeCell ref="AF7:AG7"/>
    <mergeCell ref="AD8:AJ13"/>
    <mergeCell ref="C9:E10"/>
    <mergeCell ref="F9:W10"/>
    <mergeCell ref="Y11:AB13"/>
    <mergeCell ref="S12:V13"/>
    <mergeCell ref="W12:W13"/>
    <mergeCell ref="AA15:AG15"/>
    <mergeCell ref="C16:D16"/>
    <mergeCell ref="E16:F16"/>
    <mergeCell ref="G16:H16"/>
    <mergeCell ref="I16:J16"/>
    <mergeCell ref="K16:L16"/>
    <mergeCell ref="M16:N16"/>
    <mergeCell ref="O16:P16"/>
    <mergeCell ref="Q16:R16"/>
    <mergeCell ref="C15:F15"/>
    <mergeCell ref="G15:J15"/>
    <mergeCell ref="K15:N15"/>
    <mergeCell ref="O15:R15"/>
    <mergeCell ref="S15:V15"/>
    <mergeCell ref="S16:T16"/>
    <mergeCell ref="U16:V16"/>
    <mergeCell ref="W16:X16"/>
    <mergeCell ref="Y16:Z16"/>
    <mergeCell ref="AA16:AG17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Y17:Z17"/>
    <mergeCell ref="A18:B18"/>
    <mergeCell ref="C18:D18"/>
    <mergeCell ref="E18:F18"/>
    <mergeCell ref="G18:H18"/>
    <mergeCell ref="I18:J18"/>
    <mergeCell ref="K18:L18"/>
    <mergeCell ref="M18:N18"/>
    <mergeCell ref="A15:B17"/>
    <mergeCell ref="W15:Z15"/>
    <mergeCell ref="A22:B22"/>
    <mergeCell ref="AG22:AH22"/>
    <mergeCell ref="A23:B23"/>
    <mergeCell ref="AG23:AH23"/>
    <mergeCell ref="A24:B24"/>
    <mergeCell ref="AG24:AH24"/>
    <mergeCell ref="AA18:AC18"/>
    <mergeCell ref="AD18:AG19"/>
    <mergeCell ref="A20:B21"/>
    <mergeCell ref="C20:H20"/>
    <mergeCell ref="I20:N20"/>
    <mergeCell ref="O20:T20"/>
    <mergeCell ref="U20:Z20"/>
    <mergeCell ref="AA20:AF20"/>
    <mergeCell ref="AG20:AH21"/>
    <mergeCell ref="O18:P18"/>
    <mergeCell ref="Q18:R18"/>
    <mergeCell ref="S18:T18"/>
    <mergeCell ref="U18:V18"/>
    <mergeCell ref="W18:X18"/>
    <mergeCell ref="Y18:Z18"/>
    <mergeCell ref="A28:B28"/>
    <mergeCell ref="AG28:AH28"/>
    <mergeCell ref="A29:B29"/>
    <mergeCell ref="AG29:AH29"/>
    <mergeCell ref="A30:B30"/>
    <mergeCell ref="AG30:AH30"/>
    <mergeCell ref="A25:B25"/>
    <mergeCell ref="AG25:AH25"/>
    <mergeCell ref="A26:B26"/>
    <mergeCell ref="AG26:AH26"/>
    <mergeCell ref="A27:B27"/>
    <mergeCell ref="AG27:AH27"/>
    <mergeCell ref="Y31:Z31"/>
    <mergeCell ref="AA31:AB31"/>
    <mergeCell ref="AC31:AD31"/>
    <mergeCell ref="AE31:AF31"/>
    <mergeCell ref="AG31:AH31"/>
    <mergeCell ref="A33:C34"/>
    <mergeCell ref="D33:J34"/>
    <mergeCell ref="K33:N34"/>
    <mergeCell ref="P33:P34"/>
    <mergeCell ref="Q33:V34"/>
    <mergeCell ref="M31:N31"/>
    <mergeCell ref="O31:P31"/>
    <mergeCell ref="Q31:R31"/>
    <mergeCell ref="S31:T31"/>
    <mergeCell ref="U31:V31"/>
    <mergeCell ref="W31:X31"/>
    <mergeCell ref="A31:B31"/>
    <mergeCell ref="C31:D31"/>
    <mergeCell ref="E31:F31"/>
    <mergeCell ref="G31:H31"/>
    <mergeCell ref="I31:J31"/>
    <mergeCell ref="K31:L31"/>
    <mergeCell ref="X33:X34"/>
    <mergeCell ref="Y33:AD34"/>
    <mergeCell ref="A35:A39"/>
    <mergeCell ref="B35:C35"/>
    <mergeCell ref="D35:E35"/>
    <mergeCell ref="F35:G35"/>
    <mergeCell ref="H35:I35"/>
    <mergeCell ref="K35:N40"/>
    <mergeCell ref="P35:Q35"/>
    <mergeCell ref="R35:S35"/>
    <mergeCell ref="T35:U35"/>
    <mergeCell ref="B37:C37"/>
    <mergeCell ref="D37:E37"/>
    <mergeCell ref="F37:G37"/>
    <mergeCell ref="H37:I37"/>
    <mergeCell ref="P37:Q37"/>
    <mergeCell ref="R37:S37"/>
    <mergeCell ref="T37:U37"/>
    <mergeCell ref="B39:C39"/>
    <mergeCell ref="D39:E39"/>
    <mergeCell ref="F39:G39"/>
    <mergeCell ref="H39:I39"/>
    <mergeCell ref="P39:Q39"/>
    <mergeCell ref="R39:S39"/>
    <mergeCell ref="T39:U39"/>
    <mergeCell ref="B36:C36"/>
    <mergeCell ref="D36:E36"/>
    <mergeCell ref="F36:G36"/>
    <mergeCell ref="H36:I36"/>
    <mergeCell ref="P36:Q36"/>
    <mergeCell ref="R36:S36"/>
    <mergeCell ref="T36:U36"/>
    <mergeCell ref="X36:Y36"/>
    <mergeCell ref="AB36:AC36"/>
    <mergeCell ref="B38:C38"/>
    <mergeCell ref="D38:E38"/>
    <mergeCell ref="F38:G38"/>
    <mergeCell ref="H38:I38"/>
    <mergeCell ref="P38:Q38"/>
    <mergeCell ref="R38:S38"/>
    <mergeCell ref="T38:U38"/>
    <mergeCell ref="X38:Y38"/>
    <mergeCell ref="AB38:AC38"/>
    <mergeCell ref="A40:C40"/>
    <mergeCell ref="D40:E40"/>
    <mergeCell ref="F40:G40"/>
    <mergeCell ref="H40:I40"/>
    <mergeCell ref="P40:Q40"/>
    <mergeCell ref="R40:S40"/>
    <mergeCell ref="T40:U40"/>
    <mergeCell ref="X40:Y40"/>
    <mergeCell ref="AB40:AC40"/>
    <mergeCell ref="AM35:AM36"/>
    <mergeCell ref="AN35:AN36"/>
    <mergeCell ref="AM37:AM38"/>
    <mergeCell ref="AN37:AN38"/>
    <mergeCell ref="AM39:AM40"/>
    <mergeCell ref="AN39:AN40"/>
    <mergeCell ref="X39:Y39"/>
    <mergeCell ref="P41:S41"/>
    <mergeCell ref="T41:U41"/>
    <mergeCell ref="X41:AA41"/>
    <mergeCell ref="AB41:AC41"/>
    <mergeCell ref="AB39:AC39"/>
    <mergeCell ref="X37:Y37"/>
    <mergeCell ref="AB37:AC37"/>
    <mergeCell ref="AE37:AJ38"/>
    <mergeCell ref="X35:Y35"/>
    <mergeCell ref="AB35:AC35"/>
    <mergeCell ref="AG35:AH36"/>
  </mergeCells>
  <phoneticPr fontId="5"/>
  <dataValidations count="4">
    <dataValidation allowBlank="1" sqref="AE1:AE2 Z1 V1:Y2 AB1:AC2" xr:uid="{21652FC6-BA14-45CB-A5A4-FC55EF7756BB}"/>
    <dataValidation type="list" allowBlank="1" showInputMessage="1" showErrorMessage="1" sqref="AF7:AG7" xr:uid="{7D5FAA20-3228-4C05-9A33-B8E5762A50C8}">
      <formula1>$AF$5:$AF$6</formula1>
    </dataValidation>
    <dataValidation type="list" allowBlank="1" showInputMessage="1" showErrorMessage="1" sqref="Z3:AA3" xr:uid="{2F4F205D-830E-40F4-B4EC-63594BF6D337}">
      <formula1>$Z$1:$Z$2</formula1>
    </dataValidation>
    <dataValidation type="list" allowBlank="1" sqref="AC3:AD3" xr:uid="{62D25012-DDE7-41A1-AB67-274DAAA6D6A7}">
      <formula1>$AC$1:$AC$2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85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ボタン3_Click">
                <anchor moveWithCells="1" sizeWithCells="1">
                  <from>
                    <xdr:col>37</xdr:col>
                    <xdr:colOff>190500</xdr:colOff>
                    <xdr:row>16</xdr:row>
                    <xdr:rowOff>190500</xdr:rowOff>
                  </from>
                  <to>
                    <xdr:col>39</xdr:col>
                    <xdr:colOff>289560</xdr:colOff>
                    <xdr:row>20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9A447-2E3A-4C6D-BB08-216C548D091F}">
  <sheetPr codeName="Sheet8"/>
  <dimension ref="A1:BA46"/>
  <sheetViews>
    <sheetView view="pageBreakPreview" zoomScale="80" zoomScaleNormal="125" zoomScaleSheetLayoutView="80" workbookViewId="0">
      <selection activeCell="Y11" sqref="Y11:Z12"/>
    </sheetView>
  </sheetViews>
  <sheetFormatPr defaultColWidth="8.09765625" defaultRowHeight="15.75" customHeight="1" x14ac:dyDescent="0.2"/>
  <cols>
    <col min="1" max="2" width="5.296875" style="24" customWidth="1"/>
    <col min="3" max="6" width="4.19921875" style="24" customWidth="1"/>
    <col min="7" max="7" width="4" style="24" customWidth="1"/>
    <col min="8" max="29" width="4.19921875" style="24" customWidth="1"/>
    <col min="30" max="34" width="4" style="24" customWidth="1"/>
    <col min="35" max="35" width="8.09765625" style="24"/>
    <col min="36" max="36" width="10.296875" style="24" bestFit="1" customWidth="1"/>
    <col min="37" max="16384" width="8.09765625" style="24"/>
  </cols>
  <sheetData>
    <row r="1" spans="1:53" s="31" customFormat="1" ht="15.75" customHeight="1" x14ac:dyDescent="0.2">
      <c r="A1" s="560" t="s">
        <v>89</v>
      </c>
      <c r="B1" s="560"/>
      <c r="C1" s="560"/>
      <c r="D1" s="560"/>
      <c r="E1" s="32"/>
      <c r="F1" s="32"/>
      <c r="G1" s="32"/>
      <c r="H1" s="32"/>
      <c r="I1" s="32"/>
      <c r="J1" s="41"/>
      <c r="K1" s="561" t="s">
        <v>90</v>
      </c>
      <c r="L1" s="561"/>
      <c r="M1" s="562">
        <f>計算シート!F5</f>
        <v>0</v>
      </c>
      <c r="N1" s="563"/>
      <c r="O1" s="563"/>
      <c r="P1" s="563"/>
      <c r="Q1" s="563"/>
      <c r="R1" s="563"/>
      <c r="S1" s="563"/>
      <c r="T1" s="564"/>
      <c r="U1" s="564"/>
      <c r="V1" s="565"/>
      <c r="W1" s="32"/>
      <c r="X1" s="32"/>
      <c r="Y1" s="32"/>
      <c r="Z1" s="32"/>
      <c r="AA1" s="32"/>
      <c r="AB1" s="32"/>
      <c r="AC1" s="32"/>
      <c r="AE1" s="237" t="s">
        <v>36</v>
      </c>
      <c r="AF1" s="237"/>
      <c r="AG1" s="24"/>
      <c r="AH1" s="24"/>
      <c r="AI1" s="24">
        <v>550</v>
      </c>
      <c r="AJ1" s="24" t="s">
        <v>91</v>
      </c>
      <c r="AK1" s="42" t="s">
        <v>92</v>
      </c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</row>
    <row r="2" spans="1:53" s="31" customFormat="1" ht="15.75" customHeight="1" x14ac:dyDescent="0.2">
      <c r="A2" s="560"/>
      <c r="B2" s="560"/>
      <c r="C2" s="560"/>
      <c r="D2" s="560"/>
      <c r="E2" s="43"/>
      <c r="F2" s="43"/>
      <c r="G2" s="43"/>
      <c r="H2" s="43"/>
      <c r="I2" s="43"/>
      <c r="J2" s="44"/>
      <c r="K2" s="561" t="s">
        <v>93</v>
      </c>
      <c r="L2" s="561"/>
      <c r="M2" s="45"/>
      <c r="N2" s="46"/>
      <c r="O2" s="46"/>
      <c r="P2" s="47">
        <f>計算シート!O12</f>
        <v>1</v>
      </c>
      <c r="Q2" s="47" t="s">
        <v>51</v>
      </c>
      <c r="R2" s="47">
        <f>計算シート!S12</f>
        <v>2</v>
      </c>
      <c r="S2" s="47" t="s">
        <v>52</v>
      </c>
      <c r="T2" s="48"/>
      <c r="U2" s="48"/>
      <c r="V2" s="49"/>
      <c r="W2" s="566" t="s">
        <v>94</v>
      </c>
      <c r="X2" s="567"/>
      <c r="Y2" s="568">
        <f>計算シート!C12</f>
        <v>46147</v>
      </c>
      <c r="Z2" s="568"/>
      <c r="AA2" s="568"/>
      <c r="AB2" s="568"/>
      <c r="AC2" s="568"/>
      <c r="AD2" s="568"/>
      <c r="AE2" s="237" t="s">
        <v>39</v>
      </c>
      <c r="AF2" s="237"/>
      <c r="AG2" s="24"/>
      <c r="AH2" s="24"/>
      <c r="AI2" s="24">
        <v>650</v>
      </c>
      <c r="AJ2" s="24" t="s">
        <v>91</v>
      </c>
      <c r="AK2" s="24" t="s">
        <v>95</v>
      </c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</row>
    <row r="3" spans="1:53" s="31" customFormat="1" ht="15.75" customHeight="1" x14ac:dyDescent="0.2">
      <c r="A3" s="43"/>
      <c r="B3" s="408" t="s">
        <v>25</v>
      </c>
      <c r="C3" s="408"/>
      <c r="D3" s="408"/>
      <c r="E3" s="408"/>
      <c r="F3" s="409"/>
      <c r="G3" s="409"/>
      <c r="H3" s="409"/>
      <c r="I3" s="409"/>
      <c r="J3" s="409"/>
      <c r="K3" s="44"/>
      <c r="X3" s="50" t="s">
        <v>96</v>
      </c>
      <c r="Y3" s="569"/>
      <c r="Z3" s="569"/>
      <c r="AA3" s="23"/>
      <c r="AC3" s="23"/>
      <c r="AD3" s="26" t="s">
        <v>44</v>
      </c>
      <c r="AE3" s="387" t="s">
        <v>45</v>
      </c>
      <c r="AF3" s="387"/>
      <c r="AG3" s="27"/>
      <c r="AH3" s="24"/>
      <c r="AI3" s="24">
        <v>750</v>
      </c>
      <c r="AJ3" s="24" t="s">
        <v>91</v>
      </c>
      <c r="AK3" s="24" t="s">
        <v>97</v>
      </c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</row>
    <row r="4" spans="1:53" s="31" customFormat="1" ht="15.75" customHeight="1" x14ac:dyDescent="0.2">
      <c r="A4" s="43"/>
      <c r="K4" s="44"/>
      <c r="X4" s="44"/>
      <c r="Y4" s="51"/>
      <c r="Z4" s="51"/>
      <c r="AA4" s="23"/>
      <c r="AB4" s="23"/>
      <c r="AC4" s="23"/>
      <c r="AD4" s="23"/>
      <c r="AG4" s="27"/>
      <c r="AH4" s="24"/>
      <c r="AI4" s="24">
        <v>900</v>
      </c>
      <c r="AJ4" s="24" t="s">
        <v>91</v>
      </c>
      <c r="AK4" s="24" t="s">
        <v>98</v>
      </c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</row>
    <row r="5" spans="1:53" s="31" customFormat="1" ht="15.75" customHeight="1" x14ac:dyDescent="0.2">
      <c r="A5" s="52"/>
      <c r="B5" s="542" t="s">
        <v>99</v>
      </c>
      <c r="C5" s="542"/>
      <c r="D5" s="542"/>
      <c r="E5" s="542"/>
      <c r="F5" s="552">
        <f>IF(Y2="","",Y2)</f>
        <v>46147</v>
      </c>
      <c r="G5" s="553"/>
      <c r="H5" s="554">
        <f>IF($P$2&gt;=1,F5+1,"")</f>
        <v>46148</v>
      </c>
      <c r="I5" s="555"/>
      <c r="J5" s="554" t="str">
        <f>IF($P$2&gt;=2,H5+1,"---")</f>
        <v>---</v>
      </c>
      <c r="K5" s="555"/>
      <c r="L5" s="554" t="str">
        <f>IF($P$2&gt;=3,J5+1,"---")</f>
        <v>---</v>
      </c>
      <c r="M5" s="555"/>
      <c r="N5" s="552" t="str">
        <f>IF($P$2&gt;=4,L5+1,"---")</f>
        <v>---</v>
      </c>
      <c r="O5" s="553"/>
      <c r="P5" s="556" t="s">
        <v>0</v>
      </c>
      <c r="Q5" s="557"/>
      <c r="R5" s="558"/>
      <c r="S5" s="471" t="s">
        <v>100</v>
      </c>
      <c r="T5" s="559"/>
      <c r="U5" s="471" t="s">
        <v>101</v>
      </c>
      <c r="V5" s="472"/>
      <c r="W5" s="559"/>
      <c r="Y5" s="31" t="s">
        <v>102</v>
      </c>
      <c r="AB5" s="53"/>
      <c r="AC5" s="53"/>
      <c r="AD5" s="53"/>
      <c r="AE5" s="53"/>
      <c r="AF5" s="53"/>
      <c r="AG5" s="27"/>
      <c r="AH5" s="24"/>
      <c r="AI5" s="24">
        <v>110</v>
      </c>
      <c r="AJ5" s="24" t="s">
        <v>91</v>
      </c>
      <c r="AK5" s="24" t="s">
        <v>103</v>
      </c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</row>
    <row r="6" spans="1:53" s="31" customFormat="1" ht="15.75" customHeight="1" x14ac:dyDescent="0.2">
      <c r="A6" s="471" t="str">
        <f>+AJ1</f>
        <v>朝食</v>
      </c>
      <c r="B6" s="546" t="str">
        <f>+AK1</f>
        <v>小学生未満対象</v>
      </c>
      <c r="C6" s="435"/>
      <c r="D6" s="435"/>
      <c r="E6" s="436"/>
      <c r="F6" s="54"/>
      <c r="G6" s="55" t="s">
        <v>104</v>
      </c>
      <c r="H6" s="59" t="str">
        <f>IF(料金シミュレーション!E47="〇",料金シミュレーション!$I$23,"0")</f>
        <v>0</v>
      </c>
      <c r="I6" s="66" t="str">
        <f t="shared" ref="I6:I40" si="0">G6</f>
        <v>食</v>
      </c>
      <c r="J6" s="59" t="str">
        <f>IF(料金シミュレーション!H47="〇",料金シミュレーション!$I$23,"0")</f>
        <v>0</v>
      </c>
      <c r="K6" s="66" t="str">
        <f t="shared" ref="K6:K40" si="1">G6</f>
        <v>食</v>
      </c>
      <c r="L6" s="59" t="str">
        <f>IF(料金シミュレーション!K47="〇",料金シミュレーション!$I$23,"0")</f>
        <v>0</v>
      </c>
      <c r="M6" s="66" t="str">
        <f t="shared" ref="M6:M40" si="2">G6</f>
        <v>食</v>
      </c>
      <c r="N6" s="57"/>
      <c r="O6" s="58" t="str">
        <f t="shared" ref="O6:O40" si="3">M6</f>
        <v>食</v>
      </c>
      <c r="P6" s="547">
        <f t="shared" ref="P6:P40" si="4">+F6+H6+J6+L6+N6</f>
        <v>0</v>
      </c>
      <c r="Q6" s="548"/>
      <c r="R6" s="58" t="str">
        <f t="shared" ref="R6:R40" si="5">G6</f>
        <v>食</v>
      </c>
      <c r="S6" s="549">
        <f>+AI1</f>
        <v>550</v>
      </c>
      <c r="T6" s="550"/>
      <c r="U6" s="549">
        <f t="shared" ref="U6:U40" si="6">+P6*S6</f>
        <v>0</v>
      </c>
      <c r="V6" s="551"/>
      <c r="W6" s="550"/>
      <c r="Y6" s="544">
        <f>SUM(U6:W40)</f>
        <v>0</v>
      </c>
      <c r="Z6" s="544"/>
      <c r="AA6" s="544"/>
      <c r="AB6" s="544"/>
      <c r="AC6" s="544"/>
      <c r="AG6" s="27"/>
      <c r="AH6" s="24"/>
      <c r="AI6" s="24"/>
      <c r="AJ6" s="24" t="s">
        <v>91</v>
      </c>
      <c r="AK6" s="24" t="s">
        <v>105</v>
      </c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</row>
    <row r="7" spans="1:53" s="31" customFormat="1" ht="15.75" customHeight="1" x14ac:dyDescent="0.2">
      <c r="A7" s="486"/>
      <c r="B7" s="424" t="str">
        <f>+AK2</f>
        <v>小学生対象</v>
      </c>
      <c r="C7" s="425"/>
      <c r="D7" s="425"/>
      <c r="E7" s="426"/>
      <c r="F7" s="59"/>
      <c r="G7" s="60" t="s">
        <v>104</v>
      </c>
      <c r="H7" s="65" t="str">
        <f>IF(料金シミュレーション!E47="〇",料金シミュレーション!$I$25,"0")</f>
        <v>0</v>
      </c>
      <c r="I7" s="60" t="str">
        <f t="shared" si="0"/>
        <v>食</v>
      </c>
      <c r="J7" s="65" t="str">
        <f>IF(料金シミュレーション!H47="〇",料金シミュレーション!$I$25,"0")</f>
        <v>0</v>
      </c>
      <c r="K7" s="60" t="str">
        <f t="shared" si="1"/>
        <v>食</v>
      </c>
      <c r="L7" s="65" t="str">
        <f>IF(料金シミュレーション!K47="〇",料金シミュレーション!$I$25,"0")</f>
        <v>0</v>
      </c>
      <c r="M7" s="60" t="str">
        <f t="shared" si="2"/>
        <v>食</v>
      </c>
      <c r="N7" s="62"/>
      <c r="O7" s="63" t="str">
        <f t="shared" si="3"/>
        <v>食</v>
      </c>
      <c r="P7" s="427">
        <f t="shared" si="4"/>
        <v>0</v>
      </c>
      <c r="Q7" s="428"/>
      <c r="R7" s="63" t="str">
        <f t="shared" si="5"/>
        <v>食</v>
      </c>
      <c r="S7" s="429">
        <f>+AI2</f>
        <v>650</v>
      </c>
      <c r="T7" s="430"/>
      <c r="U7" s="429">
        <f t="shared" si="6"/>
        <v>0</v>
      </c>
      <c r="V7" s="431"/>
      <c r="W7" s="430"/>
      <c r="Y7" s="545"/>
      <c r="Z7" s="545"/>
      <c r="AA7" s="545"/>
      <c r="AB7" s="545"/>
      <c r="AC7" s="545"/>
      <c r="AG7" s="27"/>
      <c r="AH7" s="24"/>
      <c r="AI7" s="24">
        <v>160</v>
      </c>
      <c r="AJ7" s="24" t="s">
        <v>91</v>
      </c>
      <c r="AK7" s="24" t="s">
        <v>106</v>
      </c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</row>
    <row r="8" spans="1:53" s="31" customFormat="1" ht="15.75" customHeight="1" x14ac:dyDescent="0.2">
      <c r="A8" s="486"/>
      <c r="B8" s="434" t="str">
        <f>+AK3</f>
        <v>中学生以上対象</v>
      </c>
      <c r="C8" s="422"/>
      <c r="D8" s="422"/>
      <c r="E8" s="423"/>
      <c r="F8" s="65"/>
      <c r="G8" s="66" t="s">
        <v>104</v>
      </c>
      <c r="H8" s="59" t="str">
        <f>IF(料金シミュレーション!E47="〇",料金シミュレーション!$I$27+料金シミュレーション!$I$29+料金シミュレーション!$I$31+料金シミュレーション!$I$33,"0")</f>
        <v>0</v>
      </c>
      <c r="I8" s="66" t="str">
        <f t="shared" si="0"/>
        <v>食</v>
      </c>
      <c r="J8" s="59" t="str">
        <f>IF(料金シミュレーション!H47="〇",料金シミュレーション!$I$27+料金シミュレーション!$I$29+料金シミュレーション!$I$31+料金シミュレーション!$I$33,"0")</f>
        <v>0</v>
      </c>
      <c r="K8" s="66" t="str">
        <f t="shared" si="1"/>
        <v>食</v>
      </c>
      <c r="L8" s="59" t="str">
        <f>IF(料金シミュレーション!K47="〇",料金シミュレーション!$I$27+料金シミュレーション!$I$29+料金シミュレーション!$I$31+料金シミュレーション!$I$33,"0")</f>
        <v>0</v>
      </c>
      <c r="M8" s="66" t="str">
        <f t="shared" si="2"/>
        <v>食</v>
      </c>
      <c r="N8" s="68"/>
      <c r="O8" s="69" t="str">
        <f t="shared" si="3"/>
        <v>食</v>
      </c>
      <c r="P8" s="417">
        <f t="shared" si="4"/>
        <v>0</v>
      </c>
      <c r="Q8" s="418"/>
      <c r="R8" s="69" t="str">
        <f t="shared" si="5"/>
        <v>食</v>
      </c>
      <c r="S8" s="419">
        <f>+AI3</f>
        <v>750</v>
      </c>
      <c r="T8" s="420"/>
      <c r="U8" s="419">
        <f t="shared" si="6"/>
        <v>0</v>
      </c>
      <c r="V8" s="421"/>
      <c r="W8" s="420"/>
      <c r="AD8" s="53"/>
      <c r="AE8" s="53"/>
      <c r="AF8" s="53"/>
      <c r="AG8" s="25"/>
      <c r="AH8" s="24"/>
      <c r="AI8" s="24">
        <v>200</v>
      </c>
      <c r="AJ8" s="24" t="s">
        <v>91</v>
      </c>
      <c r="AK8" s="24" t="s">
        <v>107</v>
      </c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</row>
    <row r="9" spans="1:53" s="31" customFormat="1" ht="15.75" customHeight="1" x14ac:dyDescent="0.2">
      <c r="A9" s="486"/>
      <c r="B9" s="463" t="str">
        <f>+AK4</f>
        <v>アスリート食</v>
      </c>
      <c r="C9" s="464"/>
      <c r="D9" s="464"/>
      <c r="E9" s="465"/>
      <c r="F9" s="70"/>
      <c r="G9" s="71" t="s">
        <v>104</v>
      </c>
      <c r="H9" s="70"/>
      <c r="I9" s="71" t="str">
        <f t="shared" si="0"/>
        <v>食</v>
      </c>
      <c r="J9" s="70"/>
      <c r="K9" s="71" t="str">
        <f t="shared" si="1"/>
        <v>食</v>
      </c>
      <c r="L9" s="72"/>
      <c r="M9" s="71" t="str">
        <f t="shared" si="2"/>
        <v>食</v>
      </c>
      <c r="N9" s="73"/>
      <c r="O9" s="74" t="str">
        <f t="shared" si="3"/>
        <v>食</v>
      </c>
      <c r="P9" s="466">
        <f t="shared" si="4"/>
        <v>0</v>
      </c>
      <c r="Q9" s="467"/>
      <c r="R9" s="74" t="str">
        <f t="shared" si="5"/>
        <v>食</v>
      </c>
      <c r="S9" s="468">
        <f>+AI4</f>
        <v>900</v>
      </c>
      <c r="T9" s="469"/>
      <c r="U9" s="468">
        <f t="shared" si="6"/>
        <v>0</v>
      </c>
      <c r="V9" s="470"/>
      <c r="W9" s="469"/>
      <c r="Y9" s="31" t="s">
        <v>108</v>
      </c>
      <c r="AD9" s="53"/>
      <c r="AE9" s="53"/>
      <c r="AF9" s="53"/>
      <c r="AG9" s="28"/>
      <c r="AH9" s="24"/>
      <c r="AI9" s="42">
        <v>700</v>
      </c>
      <c r="AJ9" s="42" t="s">
        <v>109</v>
      </c>
      <c r="AK9" s="42" t="s">
        <v>92</v>
      </c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</row>
    <row r="10" spans="1:53" s="31" customFormat="1" ht="15.75" customHeight="1" x14ac:dyDescent="0.2">
      <c r="A10" s="486"/>
      <c r="B10" s="496" t="str">
        <f>+AK5</f>
        <v>おかず追加</v>
      </c>
      <c r="C10" s="497"/>
      <c r="D10" s="497"/>
      <c r="E10" s="498"/>
      <c r="F10" s="65"/>
      <c r="G10" s="66" t="s">
        <v>104</v>
      </c>
      <c r="H10" s="65"/>
      <c r="I10" s="66" t="str">
        <f t="shared" si="0"/>
        <v>食</v>
      </c>
      <c r="J10" s="65"/>
      <c r="K10" s="66" t="str">
        <f t="shared" si="1"/>
        <v>食</v>
      </c>
      <c r="L10" s="67"/>
      <c r="M10" s="66" t="str">
        <f t="shared" si="2"/>
        <v>食</v>
      </c>
      <c r="N10" s="68"/>
      <c r="O10" s="69" t="str">
        <f t="shared" si="3"/>
        <v>食</v>
      </c>
      <c r="P10" s="499">
        <f t="shared" si="4"/>
        <v>0</v>
      </c>
      <c r="Q10" s="500"/>
      <c r="R10" s="69" t="str">
        <f t="shared" si="5"/>
        <v>食</v>
      </c>
      <c r="S10" s="501">
        <f>+AI5</f>
        <v>110</v>
      </c>
      <c r="T10" s="502"/>
      <c r="U10" s="501">
        <f t="shared" si="6"/>
        <v>0</v>
      </c>
      <c r="V10" s="503"/>
      <c r="W10" s="502"/>
      <c r="Y10" s="542" t="s">
        <v>110</v>
      </c>
      <c r="Z10" s="542"/>
      <c r="AA10" s="542" t="s">
        <v>100</v>
      </c>
      <c r="AB10" s="542"/>
      <c r="AC10" s="543" t="s">
        <v>111</v>
      </c>
      <c r="AD10" s="543"/>
      <c r="AE10" s="543" t="s">
        <v>112</v>
      </c>
      <c r="AF10" s="543"/>
      <c r="AG10" s="25"/>
      <c r="AH10" s="24"/>
      <c r="AI10" s="42">
        <v>800</v>
      </c>
      <c r="AJ10" s="42" t="s">
        <v>109</v>
      </c>
      <c r="AK10" s="42" t="s">
        <v>95</v>
      </c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</row>
    <row r="11" spans="1:53" s="31" customFormat="1" ht="15.75" customHeight="1" x14ac:dyDescent="0.2">
      <c r="A11" s="486"/>
      <c r="B11" s="424" t="str">
        <f t="shared" ref="B11:B17" si="7">+AK7</f>
        <v>白米（１合）</v>
      </c>
      <c r="C11" s="425"/>
      <c r="D11" s="425"/>
      <c r="E11" s="426"/>
      <c r="F11" s="59"/>
      <c r="G11" s="60" t="s">
        <v>104</v>
      </c>
      <c r="H11" s="59"/>
      <c r="I11" s="60" t="str">
        <f t="shared" si="0"/>
        <v>食</v>
      </c>
      <c r="J11" s="59"/>
      <c r="K11" s="60" t="str">
        <f t="shared" si="1"/>
        <v>食</v>
      </c>
      <c r="L11" s="61"/>
      <c r="M11" s="60" t="str">
        <f t="shared" si="2"/>
        <v>食</v>
      </c>
      <c r="N11" s="62"/>
      <c r="O11" s="63" t="str">
        <f t="shared" si="3"/>
        <v>食</v>
      </c>
      <c r="P11" s="427">
        <f t="shared" si="4"/>
        <v>0</v>
      </c>
      <c r="Q11" s="428"/>
      <c r="R11" s="63" t="str">
        <f t="shared" si="5"/>
        <v>食</v>
      </c>
      <c r="S11" s="429">
        <f t="shared" ref="S11:S17" si="8">+AI7</f>
        <v>160</v>
      </c>
      <c r="T11" s="430"/>
      <c r="U11" s="429">
        <f t="shared" si="6"/>
        <v>0</v>
      </c>
      <c r="V11" s="431"/>
      <c r="W11" s="430"/>
      <c r="Y11" s="531"/>
      <c r="Z11" s="531"/>
      <c r="AA11" s="532">
        <v>10</v>
      </c>
      <c r="AB11" s="532"/>
      <c r="AC11" s="529">
        <v>50</v>
      </c>
      <c r="AD11" s="529"/>
      <c r="AE11" s="530" t="str">
        <f>+IF(Y11="","",AA11*AC11)</f>
        <v/>
      </c>
      <c r="AF11" s="530"/>
      <c r="AG11" s="25"/>
      <c r="AH11" s="24"/>
      <c r="AI11" s="24">
        <v>900</v>
      </c>
      <c r="AJ11" s="42" t="s">
        <v>109</v>
      </c>
      <c r="AK11" s="42" t="s">
        <v>97</v>
      </c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</row>
    <row r="12" spans="1:53" s="31" customFormat="1" ht="15.75" customHeight="1" thickBot="1" x14ac:dyDescent="0.25">
      <c r="A12" s="487"/>
      <c r="B12" s="539" t="str">
        <f t="shared" si="7"/>
        <v>氷（２㎏）</v>
      </c>
      <c r="C12" s="540"/>
      <c r="D12" s="540"/>
      <c r="E12" s="541"/>
      <c r="F12" s="75"/>
      <c r="G12" s="76" t="s">
        <v>113</v>
      </c>
      <c r="H12" s="75"/>
      <c r="I12" s="76" t="str">
        <f t="shared" si="0"/>
        <v>袋</v>
      </c>
      <c r="J12" s="75"/>
      <c r="K12" s="76" t="str">
        <f t="shared" si="1"/>
        <v>袋</v>
      </c>
      <c r="L12" s="77"/>
      <c r="M12" s="76" t="str">
        <f t="shared" si="2"/>
        <v>袋</v>
      </c>
      <c r="N12" s="78"/>
      <c r="O12" s="79" t="str">
        <f t="shared" si="3"/>
        <v>袋</v>
      </c>
      <c r="P12" s="524">
        <f t="shared" si="4"/>
        <v>0</v>
      </c>
      <c r="Q12" s="525"/>
      <c r="R12" s="79" t="str">
        <f t="shared" si="5"/>
        <v>袋</v>
      </c>
      <c r="S12" s="526">
        <f t="shared" si="8"/>
        <v>200</v>
      </c>
      <c r="T12" s="527"/>
      <c r="U12" s="526">
        <f t="shared" si="6"/>
        <v>0</v>
      </c>
      <c r="V12" s="528"/>
      <c r="W12" s="527"/>
      <c r="Y12" s="531"/>
      <c r="Z12" s="531"/>
      <c r="AA12" s="532"/>
      <c r="AB12" s="532"/>
      <c r="AC12" s="529"/>
      <c r="AD12" s="529"/>
      <c r="AE12" s="530"/>
      <c r="AF12" s="530"/>
      <c r="AG12" s="25"/>
      <c r="AH12" s="24"/>
      <c r="AI12" s="80">
        <v>1050</v>
      </c>
      <c r="AJ12" s="24" t="s">
        <v>109</v>
      </c>
      <c r="AK12" s="42" t="s">
        <v>98</v>
      </c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</row>
    <row r="13" spans="1:53" s="31" customFormat="1" ht="15.75" customHeight="1" thickTop="1" x14ac:dyDescent="0.2">
      <c r="A13" s="533" t="str">
        <f>+AJ9</f>
        <v>昼食</v>
      </c>
      <c r="B13" s="488" t="str">
        <f t="shared" si="7"/>
        <v>小学生未満対象</v>
      </c>
      <c r="C13" s="489"/>
      <c r="D13" s="489"/>
      <c r="E13" s="490"/>
      <c r="F13" s="81" t="str">
        <f>IF(料金シミュレーション!C47="〇",料金シミュレーション!I23,"0")</f>
        <v>0</v>
      </c>
      <c r="G13" s="82" t="s">
        <v>104</v>
      </c>
      <c r="H13" s="81" t="str">
        <f>IF(料金シミュレーション!F47="〇",料金シミュレーション!$I$23,"0")</f>
        <v>0</v>
      </c>
      <c r="I13" s="82" t="str">
        <f t="shared" si="0"/>
        <v>食</v>
      </c>
      <c r="J13" s="81" t="str">
        <f>IF(料金シミュレーション!I47="〇",料金シミュレーション!$I$23,"0")</f>
        <v>0</v>
      </c>
      <c r="K13" s="82" t="str">
        <f t="shared" si="1"/>
        <v>食</v>
      </c>
      <c r="L13" s="81" t="str">
        <f>IF(料金シミュレーション!L47="〇",料金シミュレーション!$I$23,"0")</f>
        <v>0</v>
      </c>
      <c r="M13" s="82" t="str">
        <f t="shared" si="2"/>
        <v>食</v>
      </c>
      <c r="N13" s="84"/>
      <c r="O13" s="85" t="str">
        <f t="shared" si="3"/>
        <v>食</v>
      </c>
      <c r="P13" s="491">
        <f t="shared" si="4"/>
        <v>0</v>
      </c>
      <c r="Q13" s="492"/>
      <c r="R13" s="85" t="str">
        <f t="shared" si="5"/>
        <v>食</v>
      </c>
      <c r="S13" s="493">
        <f t="shared" si="8"/>
        <v>700</v>
      </c>
      <c r="T13" s="494"/>
      <c r="U13" s="493">
        <f t="shared" si="6"/>
        <v>0</v>
      </c>
      <c r="V13" s="495"/>
      <c r="W13" s="494"/>
      <c r="Y13" s="531"/>
      <c r="Z13" s="531"/>
      <c r="AA13" s="532"/>
      <c r="AB13" s="532"/>
      <c r="AC13" s="529"/>
      <c r="AD13" s="529"/>
      <c r="AE13" s="530" t="str">
        <f>+IF(Y13="","",AA13*AC13)</f>
        <v/>
      </c>
      <c r="AF13" s="530"/>
      <c r="AG13" s="25"/>
      <c r="AH13" s="24"/>
      <c r="AI13" s="42">
        <v>110</v>
      </c>
      <c r="AJ13" s="42" t="s">
        <v>109</v>
      </c>
      <c r="AK13" s="24" t="s">
        <v>103</v>
      </c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</row>
    <row r="14" spans="1:53" s="31" customFormat="1" ht="15.75" customHeight="1" x14ac:dyDescent="0.2">
      <c r="A14" s="534"/>
      <c r="B14" s="434" t="str">
        <f t="shared" si="7"/>
        <v>小学生対象</v>
      </c>
      <c r="C14" s="422"/>
      <c r="D14" s="422"/>
      <c r="E14" s="423"/>
      <c r="F14" s="65" t="str">
        <f>IF(料金シミュレーション!C47="〇",料金シミュレーション!I25,"0")</f>
        <v>0</v>
      </c>
      <c r="G14" s="66" t="s">
        <v>104</v>
      </c>
      <c r="H14" s="65" t="str">
        <f>IF(料金シミュレーション!F47="〇",料金シミュレーション!$I$25,"0")</f>
        <v>0</v>
      </c>
      <c r="I14" s="66" t="str">
        <f t="shared" si="0"/>
        <v>食</v>
      </c>
      <c r="J14" s="65" t="str">
        <f>IF(料金シミュレーション!I47="〇",料金シミュレーション!$I$25,"0")</f>
        <v>0</v>
      </c>
      <c r="K14" s="66" t="str">
        <f t="shared" si="1"/>
        <v>食</v>
      </c>
      <c r="L14" s="65" t="str">
        <f>IF(料金シミュレーション!L47="〇",料金シミュレーション!$I$25,"0")</f>
        <v>0</v>
      </c>
      <c r="M14" s="66" t="str">
        <f t="shared" si="2"/>
        <v>食</v>
      </c>
      <c r="N14" s="68"/>
      <c r="O14" s="69" t="str">
        <f t="shared" si="3"/>
        <v>食</v>
      </c>
      <c r="P14" s="417">
        <f t="shared" si="4"/>
        <v>0</v>
      </c>
      <c r="Q14" s="418"/>
      <c r="R14" s="69" t="str">
        <f t="shared" si="5"/>
        <v>食</v>
      </c>
      <c r="S14" s="419">
        <f t="shared" si="8"/>
        <v>800</v>
      </c>
      <c r="T14" s="420"/>
      <c r="U14" s="419">
        <f t="shared" si="6"/>
        <v>0</v>
      </c>
      <c r="V14" s="421"/>
      <c r="W14" s="420"/>
      <c r="Y14" s="531"/>
      <c r="Z14" s="531"/>
      <c r="AA14" s="532"/>
      <c r="AB14" s="532"/>
      <c r="AC14" s="529"/>
      <c r="AD14" s="529"/>
      <c r="AE14" s="530"/>
      <c r="AF14" s="530"/>
      <c r="AG14" s="25"/>
      <c r="AH14" s="25"/>
      <c r="AI14" s="42"/>
      <c r="AJ14" s="42" t="s">
        <v>109</v>
      </c>
      <c r="AK14" s="42" t="s">
        <v>105</v>
      </c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</row>
    <row r="15" spans="1:53" s="31" customFormat="1" ht="15.75" customHeight="1" x14ac:dyDescent="0.2">
      <c r="A15" s="534"/>
      <c r="B15" s="424" t="str">
        <f t="shared" si="7"/>
        <v>中学生以上対象</v>
      </c>
      <c r="C15" s="425"/>
      <c r="D15" s="425"/>
      <c r="E15" s="426"/>
      <c r="F15" s="59" t="str">
        <f>IF(料金シミュレーション!C47="〇",料金シミュレーション!I27+料金シミュレーション!I29+料金シミュレーション!I31+料金シミュレーション!I33,"0")</f>
        <v>0</v>
      </c>
      <c r="G15" s="60" t="s">
        <v>104</v>
      </c>
      <c r="H15" s="59" t="str">
        <f>IF(料金シミュレーション!F47="〇",料金シミュレーション!$I$27+料金シミュレーション!$I$29+料金シミュレーション!$I$31+料金シミュレーション!$I$33,"0")</f>
        <v>0</v>
      </c>
      <c r="I15" s="60" t="str">
        <f t="shared" si="0"/>
        <v>食</v>
      </c>
      <c r="J15" s="59" t="str">
        <f>IF(料金シミュレーション!I47="〇",料金シミュレーション!$I$27+料金シミュレーション!$I$29+料金シミュレーション!$I$31+料金シミュレーション!$I$33,"0")</f>
        <v>0</v>
      </c>
      <c r="K15" s="60" t="str">
        <f t="shared" si="1"/>
        <v>食</v>
      </c>
      <c r="L15" s="59" t="str">
        <f>IF(料金シミュレーション!L47="〇",料金シミュレーション!$I$27+料金シミュレーション!$I$29+料金シミュレーション!$I$31+料金シミュレーション!$I$33,"0")</f>
        <v>0</v>
      </c>
      <c r="M15" s="60" t="str">
        <f t="shared" si="2"/>
        <v>食</v>
      </c>
      <c r="N15" s="62"/>
      <c r="O15" s="63" t="str">
        <f t="shared" si="3"/>
        <v>食</v>
      </c>
      <c r="P15" s="427">
        <f t="shared" si="4"/>
        <v>0</v>
      </c>
      <c r="Q15" s="428"/>
      <c r="R15" s="63" t="str">
        <f t="shared" si="5"/>
        <v>食</v>
      </c>
      <c r="S15" s="429">
        <f t="shared" si="8"/>
        <v>900</v>
      </c>
      <c r="T15" s="430"/>
      <c r="U15" s="429">
        <f t="shared" si="6"/>
        <v>0</v>
      </c>
      <c r="V15" s="431"/>
      <c r="W15" s="430"/>
      <c r="Y15" s="531"/>
      <c r="Z15" s="531"/>
      <c r="AA15" s="532"/>
      <c r="AB15" s="532"/>
      <c r="AC15" s="529"/>
      <c r="AD15" s="529"/>
      <c r="AE15" s="530" t="str">
        <f>+IF(Y15="","",AA15*AC15)</f>
        <v/>
      </c>
      <c r="AF15" s="530"/>
      <c r="AG15" s="25"/>
      <c r="AH15" s="25"/>
      <c r="AI15" s="24">
        <v>160</v>
      </c>
      <c r="AJ15" s="24" t="s">
        <v>109</v>
      </c>
      <c r="AK15" s="24" t="s">
        <v>106</v>
      </c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</row>
    <row r="16" spans="1:53" s="31" customFormat="1" ht="15.75" customHeight="1" x14ac:dyDescent="0.2">
      <c r="A16" s="534"/>
      <c r="B16" s="477" t="str">
        <f t="shared" si="7"/>
        <v>アスリート食</v>
      </c>
      <c r="C16" s="478"/>
      <c r="D16" s="478"/>
      <c r="E16" s="479"/>
      <c r="F16" s="86"/>
      <c r="G16" s="87" t="s">
        <v>104</v>
      </c>
      <c r="H16" s="86"/>
      <c r="I16" s="87" t="str">
        <f t="shared" si="0"/>
        <v>食</v>
      </c>
      <c r="J16" s="86"/>
      <c r="K16" s="87" t="str">
        <f t="shared" si="1"/>
        <v>食</v>
      </c>
      <c r="L16" s="88"/>
      <c r="M16" s="87" t="str">
        <f t="shared" si="2"/>
        <v>食</v>
      </c>
      <c r="N16" s="89"/>
      <c r="O16" s="90" t="str">
        <f t="shared" si="3"/>
        <v>食</v>
      </c>
      <c r="P16" s="480">
        <f t="shared" si="4"/>
        <v>0</v>
      </c>
      <c r="Q16" s="481"/>
      <c r="R16" s="90" t="str">
        <f t="shared" si="5"/>
        <v>食</v>
      </c>
      <c r="S16" s="482">
        <f t="shared" si="8"/>
        <v>1050</v>
      </c>
      <c r="T16" s="483"/>
      <c r="U16" s="482">
        <f t="shared" si="6"/>
        <v>0</v>
      </c>
      <c r="V16" s="484"/>
      <c r="W16" s="483"/>
      <c r="Y16" s="531"/>
      <c r="Z16" s="531"/>
      <c r="AA16" s="532"/>
      <c r="AB16" s="532"/>
      <c r="AC16" s="529"/>
      <c r="AD16" s="529"/>
      <c r="AE16" s="530"/>
      <c r="AF16" s="530"/>
      <c r="AG16" s="24"/>
      <c r="AH16" s="24"/>
      <c r="AI16" s="24">
        <v>200</v>
      </c>
      <c r="AJ16" s="24" t="s">
        <v>109</v>
      </c>
      <c r="AK16" s="24" t="s">
        <v>107</v>
      </c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</row>
    <row r="17" spans="1:53" s="31" customFormat="1" ht="15.75" customHeight="1" x14ac:dyDescent="0.2">
      <c r="A17" s="534"/>
      <c r="B17" s="447" t="str">
        <f t="shared" si="7"/>
        <v>おかず追加</v>
      </c>
      <c r="C17" s="448"/>
      <c r="D17" s="448"/>
      <c r="E17" s="449"/>
      <c r="F17" s="59"/>
      <c r="G17" s="60" t="s">
        <v>104</v>
      </c>
      <c r="H17" s="59"/>
      <c r="I17" s="60" t="str">
        <f t="shared" si="0"/>
        <v>食</v>
      </c>
      <c r="J17" s="59"/>
      <c r="K17" s="60" t="str">
        <f t="shared" si="1"/>
        <v>食</v>
      </c>
      <c r="L17" s="61"/>
      <c r="M17" s="60" t="str">
        <f t="shared" si="2"/>
        <v>食</v>
      </c>
      <c r="N17" s="62"/>
      <c r="O17" s="63" t="str">
        <f t="shared" si="3"/>
        <v>食</v>
      </c>
      <c r="P17" s="450">
        <f t="shared" si="4"/>
        <v>0</v>
      </c>
      <c r="Q17" s="451"/>
      <c r="R17" s="91" t="str">
        <f t="shared" si="5"/>
        <v>食</v>
      </c>
      <c r="S17" s="452">
        <f t="shared" si="8"/>
        <v>110</v>
      </c>
      <c r="T17" s="453"/>
      <c r="U17" s="452">
        <f t="shared" si="6"/>
        <v>0</v>
      </c>
      <c r="V17" s="454"/>
      <c r="W17" s="453"/>
      <c r="Y17" s="531"/>
      <c r="Z17" s="531"/>
      <c r="AA17" s="532"/>
      <c r="AB17" s="532"/>
      <c r="AC17" s="529"/>
      <c r="AD17" s="529"/>
      <c r="AE17" s="530" t="str">
        <f>+IF(Y17="","",AA17*AC17)</f>
        <v/>
      </c>
      <c r="AF17" s="530"/>
      <c r="AG17" s="24"/>
      <c r="AH17" s="24"/>
      <c r="AI17" s="24">
        <v>500</v>
      </c>
      <c r="AJ17" s="24" t="s">
        <v>109</v>
      </c>
      <c r="AK17" s="24" t="s">
        <v>114</v>
      </c>
      <c r="AL17" s="24"/>
      <c r="AM17" s="24"/>
      <c r="AN17" s="24"/>
      <c r="AO17" s="24"/>
      <c r="AP17" s="24"/>
      <c r="AT17" s="24"/>
      <c r="AU17" s="24"/>
      <c r="AV17" s="24"/>
      <c r="AW17" s="24"/>
      <c r="AX17" s="24"/>
      <c r="AY17" s="24"/>
      <c r="AZ17" s="24"/>
      <c r="BA17" s="24"/>
    </row>
    <row r="18" spans="1:53" ht="15.75" customHeight="1" x14ac:dyDescent="0.2">
      <c r="A18" s="534"/>
      <c r="B18" s="434" t="str">
        <f>+AK15</f>
        <v>白米（１合）</v>
      </c>
      <c r="C18" s="422"/>
      <c r="D18" s="422"/>
      <c r="E18" s="423"/>
      <c r="F18" s="65"/>
      <c r="G18" s="66" t="s">
        <v>104</v>
      </c>
      <c r="H18" s="65"/>
      <c r="I18" s="66" t="str">
        <f t="shared" si="0"/>
        <v>食</v>
      </c>
      <c r="J18" s="65"/>
      <c r="K18" s="66" t="str">
        <f t="shared" si="1"/>
        <v>食</v>
      </c>
      <c r="L18" s="67"/>
      <c r="M18" s="66" t="str">
        <f t="shared" si="2"/>
        <v>食</v>
      </c>
      <c r="N18" s="67"/>
      <c r="O18" s="92" t="str">
        <f t="shared" si="3"/>
        <v>食</v>
      </c>
      <c r="P18" s="417">
        <f t="shared" si="4"/>
        <v>0</v>
      </c>
      <c r="Q18" s="418"/>
      <c r="R18" s="92" t="str">
        <f t="shared" si="5"/>
        <v>食</v>
      </c>
      <c r="S18" s="419">
        <f>+AI15</f>
        <v>160</v>
      </c>
      <c r="T18" s="420"/>
      <c r="U18" s="419">
        <f t="shared" si="6"/>
        <v>0</v>
      </c>
      <c r="V18" s="421"/>
      <c r="W18" s="420"/>
      <c r="Y18" s="531"/>
      <c r="Z18" s="531"/>
      <c r="AA18" s="532"/>
      <c r="AB18" s="532"/>
      <c r="AC18" s="529"/>
      <c r="AD18" s="529"/>
      <c r="AE18" s="530"/>
      <c r="AF18" s="530"/>
      <c r="AG18" s="31"/>
      <c r="AH18" s="31"/>
      <c r="AI18" s="31">
        <v>650</v>
      </c>
      <c r="AJ18" s="31" t="s">
        <v>109</v>
      </c>
      <c r="AK18" s="31" t="s">
        <v>115</v>
      </c>
      <c r="AL18" s="31"/>
      <c r="AM18" s="31"/>
      <c r="AN18" s="31"/>
      <c r="AO18" s="31"/>
      <c r="AP18" s="31"/>
      <c r="AQ18" s="31"/>
      <c r="AR18" s="31"/>
      <c r="AS18" s="31"/>
    </row>
    <row r="19" spans="1:53" ht="15.75" customHeight="1" x14ac:dyDescent="0.2">
      <c r="A19" s="534"/>
      <c r="B19" s="463" t="str">
        <f>+AK16</f>
        <v>氷（２㎏）</v>
      </c>
      <c r="C19" s="464"/>
      <c r="D19" s="464"/>
      <c r="E19" s="465"/>
      <c r="F19" s="70"/>
      <c r="G19" s="71" t="s">
        <v>113</v>
      </c>
      <c r="H19" s="70"/>
      <c r="I19" s="71" t="str">
        <f t="shared" si="0"/>
        <v>袋</v>
      </c>
      <c r="J19" s="70"/>
      <c r="K19" s="71" t="str">
        <f t="shared" si="1"/>
        <v>袋</v>
      </c>
      <c r="L19" s="72"/>
      <c r="M19" s="71" t="str">
        <f t="shared" si="2"/>
        <v>袋</v>
      </c>
      <c r="N19" s="72"/>
      <c r="O19" s="93" t="str">
        <f t="shared" si="3"/>
        <v>袋</v>
      </c>
      <c r="P19" s="466">
        <f t="shared" si="4"/>
        <v>0</v>
      </c>
      <c r="Q19" s="467"/>
      <c r="R19" s="93" t="str">
        <f t="shared" si="5"/>
        <v>袋</v>
      </c>
      <c r="S19" s="468">
        <f>+AI16</f>
        <v>200</v>
      </c>
      <c r="T19" s="469"/>
      <c r="U19" s="468">
        <f t="shared" si="6"/>
        <v>0</v>
      </c>
      <c r="V19" s="470"/>
      <c r="W19" s="469"/>
      <c r="Y19" s="531"/>
      <c r="Z19" s="531"/>
      <c r="AA19" s="532"/>
      <c r="AB19" s="532"/>
      <c r="AC19" s="529"/>
      <c r="AD19" s="529"/>
      <c r="AE19" s="530" t="str">
        <f>+IF(Y19="","",AA19*AC19)</f>
        <v/>
      </c>
      <c r="AF19" s="530"/>
      <c r="AG19" s="31"/>
      <c r="AH19" s="31"/>
      <c r="AI19" s="31">
        <v>650</v>
      </c>
      <c r="AJ19" s="31" t="s">
        <v>109</v>
      </c>
      <c r="AK19" s="31" t="s">
        <v>116</v>
      </c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</row>
    <row r="20" spans="1:53" ht="15.75" customHeight="1" x14ac:dyDescent="0.2">
      <c r="A20" s="534"/>
      <c r="B20" s="496" t="str">
        <f>+AK17</f>
        <v>弁当（小）</v>
      </c>
      <c r="C20" s="497"/>
      <c r="D20" s="497"/>
      <c r="E20" s="498"/>
      <c r="F20" s="65"/>
      <c r="G20" s="66" t="s">
        <v>104</v>
      </c>
      <c r="H20" s="65"/>
      <c r="I20" s="66" t="str">
        <f t="shared" si="0"/>
        <v>食</v>
      </c>
      <c r="J20" s="65"/>
      <c r="K20" s="66" t="str">
        <f t="shared" si="1"/>
        <v>食</v>
      </c>
      <c r="L20" s="67"/>
      <c r="M20" s="66" t="str">
        <f t="shared" si="2"/>
        <v>食</v>
      </c>
      <c r="N20" s="67"/>
      <c r="O20" s="92" t="str">
        <f t="shared" si="3"/>
        <v>食</v>
      </c>
      <c r="P20" s="499">
        <f t="shared" si="4"/>
        <v>0</v>
      </c>
      <c r="Q20" s="500"/>
      <c r="R20" s="92" t="str">
        <f t="shared" si="5"/>
        <v>食</v>
      </c>
      <c r="S20" s="501">
        <f>+AI17</f>
        <v>500</v>
      </c>
      <c r="T20" s="502"/>
      <c r="U20" s="501">
        <f t="shared" si="6"/>
        <v>0</v>
      </c>
      <c r="V20" s="503"/>
      <c r="W20" s="502"/>
      <c r="Y20" s="531"/>
      <c r="Z20" s="531"/>
      <c r="AA20" s="532"/>
      <c r="AB20" s="532"/>
      <c r="AC20" s="529"/>
      <c r="AD20" s="529"/>
      <c r="AE20" s="530"/>
      <c r="AF20" s="530"/>
      <c r="AG20" s="31"/>
      <c r="AH20" s="31"/>
      <c r="AI20" s="31"/>
      <c r="AJ20" s="31" t="s">
        <v>109</v>
      </c>
      <c r="AK20" s="31" t="s">
        <v>117</v>
      </c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</row>
    <row r="21" spans="1:53" ht="15.75" customHeight="1" x14ac:dyDescent="0.2">
      <c r="A21" s="534"/>
      <c r="B21" s="536" t="str">
        <f>+AK18</f>
        <v>弁当（中）</v>
      </c>
      <c r="C21" s="537"/>
      <c r="D21" s="537"/>
      <c r="E21" s="538"/>
      <c r="F21" s="59"/>
      <c r="G21" s="60" t="s">
        <v>104</v>
      </c>
      <c r="H21" s="59"/>
      <c r="I21" s="60" t="str">
        <f t="shared" si="0"/>
        <v>食</v>
      </c>
      <c r="J21" s="59"/>
      <c r="K21" s="60" t="str">
        <f t="shared" si="1"/>
        <v>食</v>
      </c>
      <c r="L21" s="61"/>
      <c r="M21" s="60" t="str">
        <f t="shared" si="2"/>
        <v>食</v>
      </c>
      <c r="N21" s="61"/>
      <c r="O21" s="91" t="str">
        <f t="shared" si="3"/>
        <v>食</v>
      </c>
      <c r="P21" s="427">
        <f t="shared" si="4"/>
        <v>0</v>
      </c>
      <c r="Q21" s="428"/>
      <c r="R21" s="91" t="str">
        <f t="shared" si="5"/>
        <v>食</v>
      </c>
      <c r="S21" s="429">
        <f>+AI18</f>
        <v>650</v>
      </c>
      <c r="T21" s="430"/>
      <c r="U21" s="429">
        <f t="shared" si="6"/>
        <v>0</v>
      </c>
      <c r="V21" s="431"/>
      <c r="W21" s="430"/>
      <c r="AB21" s="53"/>
      <c r="AC21" s="53"/>
      <c r="AD21" s="512" t="str">
        <f>IF(Y11="","",SUM(AE11:AF20))</f>
        <v/>
      </c>
      <c r="AE21" s="512"/>
      <c r="AF21" s="512"/>
      <c r="AG21" s="53"/>
      <c r="AH21" s="31"/>
      <c r="AI21" s="31"/>
      <c r="AJ21" s="31" t="s">
        <v>109</v>
      </c>
      <c r="AK21" s="31" t="s">
        <v>118</v>
      </c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</row>
    <row r="22" spans="1:53" ht="15.75" customHeight="1" x14ac:dyDescent="0.2">
      <c r="A22" s="534"/>
      <c r="B22" s="514" t="str">
        <f>+AK19</f>
        <v>弁当（中）アレルギー対応</v>
      </c>
      <c r="C22" s="515"/>
      <c r="D22" s="515"/>
      <c r="E22" s="516"/>
      <c r="F22" s="86"/>
      <c r="G22" s="87" t="s">
        <v>104</v>
      </c>
      <c r="H22" s="86"/>
      <c r="I22" s="87" t="str">
        <f t="shared" si="0"/>
        <v>食</v>
      </c>
      <c r="J22" s="86"/>
      <c r="K22" s="87" t="str">
        <f t="shared" si="1"/>
        <v>食</v>
      </c>
      <c r="L22" s="88"/>
      <c r="M22" s="87" t="str">
        <f t="shared" si="2"/>
        <v>食</v>
      </c>
      <c r="N22" s="88"/>
      <c r="O22" s="94" t="str">
        <f t="shared" si="3"/>
        <v>食</v>
      </c>
      <c r="P22" s="480">
        <f t="shared" si="4"/>
        <v>0</v>
      </c>
      <c r="Q22" s="481"/>
      <c r="R22" s="94" t="str">
        <f t="shared" si="5"/>
        <v>食</v>
      </c>
      <c r="S22" s="482">
        <f>+AI19</f>
        <v>650</v>
      </c>
      <c r="T22" s="483"/>
      <c r="U22" s="482">
        <f t="shared" si="6"/>
        <v>0</v>
      </c>
      <c r="V22" s="484"/>
      <c r="W22" s="483"/>
      <c r="AB22" s="53"/>
      <c r="AC22" s="53"/>
      <c r="AD22" s="513"/>
      <c r="AE22" s="513"/>
      <c r="AF22" s="513"/>
      <c r="AG22" s="31"/>
      <c r="AH22" s="31"/>
      <c r="AI22" s="31">
        <v>800</v>
      </c>
      <c r="AJ22" s="31" t="s">
        <v>109</v>
      </c>
      <c r="AK22" s="31" t="s">
        <v>119</v>
      </c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</row>
    <row r="23" spans="1:53" ht="15.75" customHeight="1" x14ac:dyDescent="0.2">
      <c r="A23" s="534"/>
      <c r="B23" s="517" t="str">
        <f t="shared" ref="B23:B29" si="9">+AK22</f>
        <v>野外炊飯</v>
      </c>
      <c r="C23" s="518"/>
      <c r="D23" s="518"/>
      <c r="E23" s="519"/>
      <c r="F23" s="59"/>
      <c r="G23" s="60" t="s">
        <v>104</v>
      </c>
      <c r="H23" s="59"/>
      <c r="I23" s="60" t="str">
        <f t="shared" si="0"/>
        <v>食</v>
      </c>
      <c r="J23" s="59"/>
      <c r="K23" s="60" t="str">
        <f t="shared" si="1"/>
        <v>食</v>
      </c>
      <c r="L23" s="61"/>
      <c r="M23" s="60" t="str">
        <f t="shared" si="2"/>
        <v>食</v>
      </c>
      <c r="N23" s="61"/>
      <c r="O23" s="91" t="str">
        <f t="shared" si="3"/>
        <v>食</v>
      </c>
      <c r="P23" s="450">
        <f t="shared" si="4"/>
        <v>0</v>
      </c>
      <c r="Q23" s="451"/>
      <c r="R23" s="91" t="str">
        <f t="shared" si="5"/>
        <v>食</v>
      </c>
      <c r="S23" s="452">
        <f t="shared" ref="S23:S29" si="10">+AI22</f>
        <v>800</v>
      </c>
      <c r="T23" s="453"/>
      <c r="U23" s="452">
        <f t="shared" si="6"/>
        <v>0</v>
      </c>
      <c r="V23" s="454"/>
      <c r="W23" s="453"/>
      <c r="Y23" s="29" t="str">
        <f>+IF($AE$3=AE1,"","被仕向送金手数料")</f>
        <v/>
      </c>
      <c r="AD23" s="520" t="str">
        <f>+IF(Y23="","",2000)</f>
        <v/>
      </c>
      <c r="AE23" s="520"/>
      <c r="AF23" s="53"/>
      <c r="AG23" s="31"/>
      <c r="AH23" s="31"/>
      <c r="AI23" s="31">
        <v>1800</v>
      </c>
      <c r="AJ23" s="31" t="s">
        <v>109</v>
      </c>
      <c r="AK23" s="31" t="s">
        <v>120</v>
      </c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</row>
    <row r="24" spans="1:53" ht="15.75" customHeight="1" thickBot="1" x14ac:dyDescent="0.25">
      <c r="A24" s="535"/>
      <c r="B24" s="521" t="str">
        <f t="shared" si="9"/>
        <v>野外炊飯（BBQ）</v>
      </c>
      <c r="C24" s="522"/>
      <c r="D24" s="522"/>
      <c r="E24" s="523"/>
      <c r="F24" s="75"/>
      <c r="G24" s="76" t="s">
        <v>104</v>
      </c>
      <c r="H24" s="75"/>
      <c r="I24" s="76" t="str">
        <f t="shared" si="0"/>
        <v>食</v>
      </c>
      <c r="J24" s="75"/>
      <c r="K24" s="76" t="str">
        <f t="shared" si="1"/>
        <v>食</v>
      </c>
      <c r="L24" s="77"/>
      <c r="M24" s="76" t="str">
        <f t="shared" si="2"/>
        <v>食</v>
      </c>
      <c r="N24" s="77"/>
      <c r="O24" s="95" t="str">
        <f t="shared" si="3"/>
        <v>食</v>
      </c>
      <c r="P24" s="524">
        <f t="shared" si="4"/>
        <v>0</v>
      </c>
      <c r="Q24" s="525"/>
      <c r="R24" s="95" t="str">
        <f t="shared" si="5"/>
        <v>食</v>
      </c>
      <c r="S24" s="526">
        <f t="shared" si="10"/>
        <v>1800</v>
      </c>
      <c r="T24" s="527"/>
      <c r="U24" s="526">
        <f t="shared" si="6"/>
        <v>0</v>
      </c>
      <c r="V24" s="528"/>
      <c r="W24" s="527"/>
      <c r="Z24" s="30" t="str">
        <f>+IF(Y23="","","加算金")</f>
        <v/>
      </c>
      <c r="AD24" s="520"/>
      <c r="AE24" s="520"/>
      <c r="AF24" s="53"/>
      <c r="AG24" s="53"/>
      <c r="AH24" s="31">
        <f>+Y6</f>
        <v>0</v>
      </c>
      <c r="AI24" s="31">
        <v>850</v>
      </c>
      <c r="AJ24" s="31" t="s">
        <v>121</v>
      </c>
      <c r="AK24" s="31" t="s">
        <v>92</v>
      </c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</row>
    <row r="25" spans="1:53" ht="15.75" customHeight="1" thickTop="1" x14ac:dyDescent="0.2">
      <c r="A25" s="485" t="str">
        <f>+AJ24</f>
        <v>夕食</v>
      </c>
      <c r="B25" s="488" t="str">
        <f t="shared" si="9"/>
        <v>小学生未満対象</v>
      </c>
      <c r="C25" s="489"/>
      <c r="D25" s="489"/>
      <c r="E25" s="490"/>
      <c r="F25" s="81" t="str">
        <f>IF(料金シミュレーション!D47="〇",料金シミュレーション!$I$23,"0")</f>
        <v>0</v>
      </c>
      <c r="G25" s="82" t="s">
        <v>104</v>
      </c>
      <c r="H25" s="81" t="str">
        <f>IF(料金シミュレーション!G47="〇",料金シミュレーション!$I$23,"0")</f>
        <v>0</v>
      </c>
      <c r="I25" s="82" t="str">
        <f t="shared" si="0"/>
        <v>食</v>
      </c>
      <c r="J25" s="81" t="str">
        <f>IF(料金シミュレーション!J47="〇",料金シミュレーション!$I$23,"0")</f>
        <v>0</v>
      </c>
      <c r="K25" s="82" t="str">
        <f t="shared" si="1"/>
        <v>食</v>
      </c>
      <c r="L25" s="83"/>
      <c r="M25" s="82" t="str">
        <f t="shared" si="2"/>
        <v>食</v>
      </c>
      <c r="N25" s="83"/>
      <c r="O25" s="96" t="str">
        <f t="shared" si="3"/>
        <v>食</v>
      </c>
      <c r="P25" s="491">
        <f t="shared" si="4"/>
        <v>0</v>
      </c>
      <c r="Q25" s="492"/>
      <c r="R25" s="96" t="str">
        <f t="shared" si="5"/>
        <v>食</v>
      </c>
      <c r="S25" s="493">
        <f t="shared" si="10"/>
        <v>850</v>
      </c>
      <c r="T25" s="494"/>
      <c r="U25" s="493">
        <f t="shared" si="6"/>
        <v>0</v>
      </c>
      <c r="V25" s="495"/>
      <c r="W25" s="494"/>
      <c r="Y25" s="249" t="str">
        <f>+"合計金額 "&amp;TEXT(SUM(AH24:AH42),"#,##0")&amp;"円"</f>
        <v>合計金額 0円</v>
      </c>
      <c r="Z25" s="249"/>
      <c r="AA25" s="249"/>
      <c r="AB25" s="249"/>
      <c r="AC25" s="249"/>
      <c r="AD25" s="249"/>
      <c r="AE25" s="249"/>
      <c r="AF25" s="53"/>
      <c r="AG25" s="53"/>
      <c r="AH25" s="31"/>
      <c r="AI25" s="31">
        <v>950</v>
      </c>
      <c r="AJ25" s="31" t="s">
        <v>121</v>
      </c>
      <c r="AK25" s="31" t="s">
        <v>95</v>
      </c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</row>
    <row r="26" spans="1:53" ht="15.75" customHeight="1" x14ac:dyDescent="0.2">
      <c r="A26" s="486"/>
      <c r="B26" s="434" t="str">
        <f t="shared" si="9"/>
        <v>小学生対象</v>
      </c>
      <c r="C26" s="422"/>
      <c r="D26" s="422"/>
      <c r="E26" s="423"/>
      <c r="F26" s="65" t="str">
        <f>IF(料金シミュレーション!D47="〇",料金シミュレーション!$I$25,"0")</f>
        <v>0</v>
      </c>
      <c r="G26" s="66" t="s">
        <v>104</v>
      </c>
      <c r="H26" s="65" t="str">
        <f>IF(料金シミュレーション!G47="〇",料金シミュレーション!$I$25,"0")</f>
        <v>0</v>
      </c>
      <c r="I26" s="66" t="str">
        <f t="shared" si="0"/>
        <v>食</v>
      </c>
      <c r="J26" s="65" t="str">
        <f>IF(料金シミュレーション!J47="〇",料金シミュレーション!$I$25,"0")</f>
        <v>0</v>
      </c>
      <c r="K26" s="66" t="str">
        <f t="shared" si="1"/>
        <v>食</v>
      </c>
      <c r="L26" s="67"/>
      <c r="M26" s="66" t="str">
        <f t="shared" si="2"/>
        <v>食</v>
      </c>
      <c r="N26" s="67"/>
      <c r="O26" s="92" t="str">
        <f t="shared" si="3"/>
        <v>食</v>
      </c>
      <c r="P26" s="417">
        <f t="shared" si="4"/>
        <v>0</v>
      </c>
      <c r="Q26" s="418"/>
      <c r="R26" s="92" t="str">
        <f t="shared" si="5"/>
        <v>食</v>
      </c>
      <c r="S26" s="419">
        <f t="shared" si="10"/>
        <v>950</v>
      </c>
      <c r="T26" s="420"/>
      <c r="U26" s="419">
        <f t="shared" si="6"/>
        <v>0</v>
      </c>
      <c r="V26" s="421"/>
      <c r="W26" s="420"/>
      <c r="Y26" s="249"/>
      <c r="Z26" s="249"/>
      <c r="AA26" s="249"/>
      <c r="AB26" s="249"/>
      <c r="AC26" s="249"/>
      <c r="AD26" s="249"/>
      <c r="AE26" s="249"/>
      <c r="AF26" s="53"/>
      <c r="AG26" s="53"/>
      <c r="AH26" s="31"/>
      <c r="AI26" s="31">
        <v>1050</v>
      </c>
      <c r="AJ26" s="31" t="s">
        <v>121</v>
      </c>
      <c r="AK26" s="31" t="s">
        <v>97</v>
      </c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</row>
    <row r="27" spans="1:53" ht="15.75" customHeight="1" x14ac:dyDescent="0.2">
      <c r="A27" s="486"/>
      <c r="B27" s="424" t="str">
        <f t="shared" si="9"/>
        <v>中学生以上対象</v>
      </c>
      <c r="C27" s="425"/>
      <c r="D27" s="425"/>
      <c r="E27" s="426"/>
      <c r="F27" s="59" t="str">
        <f>IF(料金シミュレーション!D47="〇",料金シミュレーション!$I$27+料金シミュレーション!$I$29+料金シミュレーション!$I$31+料金シミュレーション!$I$33,"0")</f>
        <v>0</v>
      </c>
      <c r="G27" s="60" t="s">
        <v>104</v>
      </c>
      <c r="H27" s="59" t="str">
        <f>IF(料金シミュレーション!G47="〇",料金シミュレーション!$I$27+料金シミュレーション!$I$29+料金シミュレーション!$I$31+料金シミュレーション!$I$33,"0")</f>
        <v>0</v>
      </c>
      <c r="I27" s="60" t="str">
        <f t="shared" si="0"/>
        <v>食</v>
      </c>
      <c r="J27" s="59" t="str">
        <f>IF(料金シミュレーション!J47="〇",料金シミュレーション!$I$27+料金シミュレーション!$I$29+料金シミュレーション!$I$31+料金シミュレーション!$I$33,"0")</f>
        <v>0</v>
      </c>
      <c r="K27" s="60" t="str">
        <f t="shared" si="1"/>
        <v>食</v>
      </c>
      <c r="L27" s="61"/>
      <c r="M27" s="60" t="str">
        <f t="shared" si="2"/>
        <v>食</v>
      </c>
      <c r="N27" s="61"/>
      <c r="O27" s="91" t="str">
        <f t="shared" si="3"/>
        <v>食</v>
      </c>
      <c r="P27" s="427">
        <f t="shared" si="4"/>
        <v>0</v>
      </c>
      <c r="Q27" s="428"/>
      <c r="R27" s="91" t="str">
        <f t="shared" si="5"/>
        <v>食</v>
      </c>
      <c r="S27" s="429">
        <f t="shared" si="10"/>
        <v>1050</v>
      </c>
      <c r="T27" s="430"/>
      <c r="U27" s="429">
        <f t="shared" si="6"/>
        <v>0</v>
      </c>
      <c r="V27" s="431"/>
      <c r="W27" s="430"/>
      <c r="AF27" s="53"/>
      <c r="AG27" s="53"/>
      <c r="AH27" s="31"/>
      <c r="AI27" s="31">
        <v>1200</v>
      </c>
      <c r="AJ27" s="31" t="s">
        <v>121</v>
      </c>
      <c r="AK27" s="31" t="s">
        <v>98</v>
      </c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</row>
    <row r="28" spans="1:53" ht="15.75" customHeight="1" x14ac:dyDescent="0.2">
      <c r="A28" s="486"/>
      <c r="B28" s="477" t="str">
        <f t="shared" si="9"/>
        <v>アスリート食</v>
      </c>
      <c r="C28" s="478"/>
      <c r="D28" s="478"/>
      <c r="E28" s="479"/>
      <c r="F28" s="86"/>
      <c r="G28" s="87" t="s">
        <v>104</v>
      </c>
      <c r="H28" s="86"/>
      <c r="I28" s="87" t="str">
        <f t="shared" si="0"/>
        <v>食</v>
      </c>
      <c r="J28" s="86"/>
      <c r="K28" s="87" t="str">
        <f t="shared" si="1"/>
        <v>食</v>
      </c>
      <c r="L28" s="88"/>
      <c r="M28" s="87" t="str">
        <f t="shared" si="2"/>
        <v>食</v>
      </c>
      <c r="N28" s="88"/>
      <c r="O28" s="94" t="str">
        <f t="shared" si="3"/>
        <v>食</v>
      </c>
      <c r="P28" s="480">
        <f t="shared" si="4"/>
        <v>0</v>
      </c>
      <c r="Q28" s="481"/>
      <c r="R28" s="94" t="str">
        <f t="shared" si="5"/>
        <v>食</v>
      </c>
      <c r="S28" s="482">
        <f t="shared" si="10"/>
        <v>1200</v>
      </c>
      <c r="T28" s="483"/>
      <c r="U28" s="482">
        <f t="shared" si="6"/>
        <v>0</v>
      </c>
      <c r="V28" s="484"/>
      <c r="W28" s="483"/>
      <c r="Y28" s="432"/>
      <c r="Z28" s="308"/>
      <c r="AA28" s="308"/>
      <c r="AB28" s="308"/>
      <c r="AC28" s="308"/>
      <c r="AD28" s="308"/>
      <c r="AE28" s="309"/>
      <c r="AF28" s="53"/>
      <c r="AG28" s="53"/>
      <c r="AH28" s="31"/>
      <c r="AI28" s="31">
        <v>110</v>
      </c>
      <c r="AJ28" s="31" t="s">
        <v>121</v>
      </c>
      <c r="AK28" s="31" t="s">
        <v>103</v>
      </c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</row>
    <row r="29" spans="1:53" ht="15.75" customHeight="1" x14ac:dyDescent="0.2">
      <c r="A29" s="486"/>
      <c r="B29" s="447" t="str">
        <f t="shared" si="9"/>
        <v>おかず追加</v>
      </c>
      <c r="C29" s="448"/>
      <c r="D29" s="448"/>
      <c r="E29" s="449"/>
      <c r="F29" s="59"/>
      <c r="G29" s="60" t="s">
        <v>104</v>
      </c>
      <c r="H29" s="59"/>
      <c r="I29" s="60" t="str">
        <f t="shared" si="0"/>
        <v>食</v>
      </c>
      <c r="J29" s="59"/>
      <c r="K29" s="60" t="str">
        <f t="shared" si="1"/>
        <v>食</v>
      </c>
      <c r="L29" s="61"/>
      <c r="M29" s="60" t="str">
        <f t="shared" si="2"/>
        <v>食</v>
      </c>
      <c r="N29" s="61"/>
      <c r="O29" s="91" t="str">
        <f t="shared" si="3"/>
        <v>食</v>
      </c>
      <c r="P29" s="450">
        <f t="shared" si="4"/>
        <v>0</v>
      </c>
      <c r="Q29" s="451"/>
      <c r="R29" s="91" t="str">
        <f t="shared" si="5"/>
        <v>食</v>
      </c>
      <c r="S29" s="452">
        <f t="shared" si="10"/>
        <v>110</v>
      </c>
      <c r="T29" s="453"/>
      <c r="U29" s="452">
        <f t="shared" si="6"/>
        <v>0</v>
      </c>
      <c r="V29" s="454"/>
      <c r="W29" s="453"/>
      <c r="Y29" s="433"/>
      <c r="Z29" s="310"/>
      <c r="AA29" s="310"/>
      <c r="AB29" s="310"/>
      <c r="AC29" s="310"/>
      <c r="AD29" s="310"/>
      <c r="AE29" s="311"/>
      <c r="AF29" s="53"/>
      <c r="AG29" s="53"/>
      <c r="AH29" s="31"/>
      <c r="AI29" s="31"/>
      <c r="AJ29" s="31" t="s">
        <v>121</v>
      </c>
      <c r="AK29" s="31" t="s">
        <v>105</v>
      </c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</row>
    <row r="30" spans="1:53" ht="15.75" customHeight="1" x14ac:dyDescent="0.2">
      <c r="A30" s="486"/>
      <c r="B30" s="434" t="str">
        <f t="shared" ref="B30:B40" si="11">+AK30</f>
        <v>白米（１合）</v>
      </c>
      <c r="C30" s="422"/>
      <c r="D30" s="422"/>
      <c r="E30" s="423"/>
      <c r="F30" s="65"/>
      <c r="G30" s="66" t="s">
        <v>104</v>
      </c>
      <c r="H30" s="65"/>
      <c r="I30" s="66" t="str">
        <f t="shared" si="0"/>
        <v>食</v>
      </c>
      <c r="J30" s="65"/>
      <c r="K30" s="66" t="str">
        <f t="shared" si="1"/>
        <v>食</v>
      </c>
      <c r="L30" s="67"/>
      <c r="M30" s="66" t="str">
        <f t="shared" si="2"/>
        <v>食</v>
      </c>
      <c r="N30" s="67"/>
      <c r="O30" s="92" t="str">
        <f t="shared" si="3"/>
        <v>食</v>
      </c>
      <c r="P30" s="417">
        <f t="shared" si="4"/>
        <v>0</v>
      </c>
      <c r="Q30" s="418"/>
      <c r="R30" s="92" t="str">
        <f t="shared" si="5"/>
        <v>食</v>
      </c>
      <c r="S30" s="419">
        <f t="shared" ref="S30:S40" si="12">+AI30</f>
        <v>160</v>
      </c>
      <c r="T30" s="420"/>
      <c r="U30" s="419">
        <f t="shared" si="6"/>
        <v>0</v>
      </c>
      <c r="V30" s="421"/>
      <c r="W30" s="420"/>
      <c r="Y30" s="471" t="s">
        <v>122</v>
      </c>
      <c r="Z30" s="472"/>
      <c r="AA30" s="475">
        <f>+TEXT(SUM(AH24:AH42),"#,##0")-AD41</f>
        <v>0</v>
      </c>
      <c r="AB30" s="475"/>
      <c r="AC30" s="475"/>
      <c r="AD30" s="475"/>
      <c r="AE30" s="461" t="s">
        <v>77</v>
      </c>
      <c r="AF30" s="53"/>
      <c r="AG30" s="53"/>
      <c r="AH30" s="31"/>
      <c r="AI30" s="31">
        <v>160</v>
      </c>
      <c r="AJ30" s="31" t="s">
        <v>121</v>
      </c>
      <c r="AK30" s="31" t="s">
        <v>106</v>
      </c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</row>
    <row r="31" spans="1:53" ht="15.75" customHeight="1" x14ac:dyDescent="0.2">
      <c r="A31" s="486"/>
      <c r="B31" s="463" t="str">
        <f t="shared" si="11"/>
        <v>氷（２㎏）</v>
      </c>
      <c r="C31" s="464"/>
      <c r="D31" s="464"/>
      <c r="E31" s="465"/>
      <c r="F31" s="70"/>
      <c r="G31" s="71" t="s">
        <v>113</v>
      </c>
      <c r="H31" s="70"/>
      <c r="I31" s="71" t="str">
        <f t="shared" si="0"/>
        <v>袋</v>
      </c>
      <c r="J31" s="70"/>
      <c r="K31" s="71" t="str">
        <f t="shared" si="1"/>
        <v>袋</v>
      </c>
      <c r="L31" s="72"/>
      <c r="M31" s="71" t="str">
        <f t="shared" si="2"/>
        <v>袋</v>
      </c>
      <c r="N31" s="72"/>
      <c r="O31" s="93" t="str">
        <f t="shared" si="3"/>
        <v>袋</v>
      </c>
      <c r="P31" s="466">
        <f t="shared" si="4"/>
        <v>0</v>
      </c>
      <c r="Q31" s="467"/>
      <c r="R31" s="93" t="str">
        <f t="shared" si="5"/>
        <v>袋</v>
      </c>
      <c r="S31" s="468">
        <f t="shared" si="12"/>
        <v>200</v>
      </c>
      <c r="T31" s="469"/>
      <c r="U31" s="468">
        <f t="shared" si="6"/>
        <v>0</v>
      </c>
      <c r="V31" s="470"/>
      <c r="W31" s="469"/>
      <c r="Y31" s="473"/>
      <c r="Z31" s="474"/>
      <c r="AA31" s="476"/>
      <c r="AB31" s="476"/>
      <c r="AC31" s="476"/>
      <c r="AD31" s="476"/>
      <c r="AE31" s="462"/>
      <c r="AF31" s="53"/>
      <c r="AG31" s="53"/>
      <c r="AH31" s="31"/>
      <c r="AI31" s="31">
        <v>200</v>
      </c>
      <c r="AJ31" s="31" t="s">
        <v>121</v>
      </c>
      <c r="AK31" s="31" t="s">
        <v>107</v>
      </c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</row>
    <row r="32" spans="1:53" ht="15.75" customHeight="1" x14ac:dyDescent="0.2">
      <c r="A32" s="486"/>
      <c r="B32" s="496" t="str">
        <f t="shared" si="11"/>
        <v>野外炊飯</v>
      </c>
      <c r="C32" s="497"/>
      <c r="D32" s="497"/>
      <c r="E32" s="498"/>
      <c r="F32" s="65"/>
      <c r="G32" s="66" t="s">
        <v>104</v>
      </c>
      <c r="H32" s="65"/>
      <c r="I32" s="66" t="str">
        <f t="shared" si="0"/>
        <v>食</v>
      </c>
      <c r="J32" s="65"/>
      <c r="K32" s="66" t="str">
        <f t="shared" si="1"/>
        <v>食</v>
      </c>
      <c r="L32" s="67"/>
      <c r="M32" s="66" t="str">
        <f t="shared" si="2"/>
        <v>食</v>
      </c>
      <c r="N32" s="67">
        <f>料金シミュレーション!I59</f>
        <v>0</v>
      </c>
      <c r="O32" s="92" t="str">
        <f t="shared" si="3"/>
        <v>食</v>
      </c>
      <c r="P32" s="499">
        <f t="shared" si="4"/>
        <v>0</v>
      </c>
      <c r="Q32" s="500"/>
      <c r="R32" s="92" t="str">
        <f t="shared" si="5"/>
        <v>食</v>
      </c>
      <c r="S32" s="501">
        <f t="shared" si="12"/>
        <v>800</v>
      </c>
      <c r="T32" s="502"/>
      <c r="U32" s="501">
        <f t="shared" si="6"/>
        <v>0</v>
      </c>
      <c r="V32" s="503"/>
      <c r="W32" s="502"/>
      <c r="Z32" s="97"/>
      <c r="AB32" s="64"/>
      <c r="AC32" s="53"/>
      <c r="AD32" s="64"/>
      <c r="AE32" s="64"/>
      <c r="AF32" s="53"/>
      <c r="AG32" s="53"/>
      <c r="AH32" s="31"/>
      <c r="AI32" s="31">
        <v>800</v>
      </c>
      <c r="AJ32" s="31" t="s">
        <v>121</v>
      </c>
      <c r="AK32" s="31" t="s">
        <v>119</v>
      </c>
      <c r="AL32" s="31"/>
      <c r="AM32" s="31"/>
      <c r="AN32" s="31"/>
      <c r="AO32" s="31"/>
      <c r="AP32" s="31"/>
      <c r="AT32" s="31"/>
      <c r="AU32" s="31"/>
      <c r="AV32" s="31"/>
      <c r="AW32" s="31"/>
      <c r="AX32" s="31"/>
      <c r="AY32" s="31"/>
      <c r="AZ32" s="31"/>
      <c r="BA32" s="31"/>
    </row>
    <row r="33" spans="1:53" ht="15.75" customHeight="1" thickBot="1" x14ac:dyDescent="0.25">
      <c r="A33" s="487"/>
      <c r="B33" s="504" t="str">
        <f t="shared" si="11"/>
        <v>野外炊飯（BBQ）</v>
      </c>
      <c r="C33" s="505"/>
      <c r="D33" s="505"/>
      <c r="E33" s="506"/>
      <c r="F33" s="98"/>
      <c r="G33" s="99" t="s">
        <v>104</v>
      </c>
      <c r="H33" s="98"/>
      <c r="I33" s="99" t="str">
        <f t="shared" si="0"/>
        <v>食</v>
      </c>
      <c r="J33" s="98"/>
      <c r="K33" s="99" t="str">
        <f t="shared" si="1"/>
        <v>食</v>
      </c>
      <c r="L33" s="100"/>
      <c r="M33" s="99" t="str">
        <f t="shared" si="2"/>
        <v>食</v>
      </c>
      <c r="N33" s="100">
        <f>料金シミュレーション!I61</f>
        <v>0</v>
      </c>
      <c r="O33" s="101" t="str">
        <f t="shared" si="3"/>
        <v>食</v>
      </c>
      <c r="P33" s="507">
        <f t="shared" si="4"/>
        <v>0</v>
      </c>
      <c r="Q33" s="508"/>
      <c r="R33" s="101" t="str">
        <f t="shared" si="5"/>
        <v>食</v>
      </c>
      <c r="S33" s="509">
        <f t="shared" si="12"/>
        <v>1800</v>
      </c>
      <c r="T33" s="510"/>
      <c r="U33" s="509">
        <f t="shared" si="6"/>
        <v>0</v>
      </c>
      <c r="V33" s="511"/>
      <c r="W33" s="510"/>
      <c r="AF33" s="53"/>
      <c r="AG33" s="53"/>
      <c r="AH33" s="31"/>
      <c r="AI33" s="31">
        <v>1800</v>
      </c>
      <c r="AJ33" s="31" t="s">
        <v>121</v>
      </c>
      <c r="AK33" s="31" t="s">
        <v>120</v>
      </c>
      <c r="AL33" s="31"/>
      <c r="AM33" s="31"/>
      <c r="AN33" s="31"/>
      <c r="AO33" s="31"/>
      <c r="AP33" s="31"/>
      <c r="AT33" s="31"/>
      <c r="AU33" s="31"/>
      <c r="AV33" s="31"/>
      <c r="AW33" s="31"/>
      <c r="AX33" s="31"/>
      <c r="AY33" s="31"/>
      <c r="AZ33" s="31"/>
      <c r="BA33" s="31"/>
    </row>
    <row r="34" spans="1:53" ht="15.75" customHeight="1" thickTop="1" x14ac:dyDescent="0.2">
      <c r="A34" s="437" t="str">
        <f>+AJ35</f>
        <v>BBQ追加</v>
      </c>
      <c r="B34" s="439" t="str">
        <f t="shared" si="11"/>
        <v>炭（3㎏）</v>
      </c>
      <c r="C34" s="440"/>
      <c r="D34" s="440"/>
      <c r="E34" s="441"/>
      <c r="F34" s="86"/>
      <c r="G34" s="87" t="s">
        <v>123</v>
      </c>
      <c r="H34" s="86"/>
      <c r="I34" s="87" t="str">
        <f t="shared" si="0"/>
        <v>箱</v>
      </c>
      <c r="J34" s="86"/>
      <c r="K34" s="87" t="str">
        <f t="shared" si="1"/>
        <v>箱</v>
      </c>
      <c r="L34" s="88"/>
      <c r="M34" s="87" t="str">
        <f t="shared" si="2"/>
        <v>箱</v>
      </c>
      <c r="N34" s="88">
        <f>料金シミュレーション!I75</f>
        <v>0</v>
      </c>
      <c r="O34" s="94" t="str">
        <f t="shared" si="3"/>
        <v>箱</v>
      </c>
      <c r="P34" s="442">
        <f t="shared" si="4"/>
        <v>0</v>
      </c>
      <c r="Q34" s="443"/>
      <c r="R34" s="94" t="str">
        <f t="shared" si="5"/>
        <v>箱</v>
      </c>
      <c r="S34" s="444">
        <f t="shared" si="12"/>
        <v>1000</v>
      </c>
      <c r="T34" s="445"/>
      <c r="U34" s="444">
        <f t="shared" si="6"/>
        <v>0</v>
      </c>
      <c r="V34" s="446"/>
      <c r="W34" s="445"/>
      <c r="AF34" s="53"/>
      <c r="AG34" s="53"/>
      <c r="AI34" s="102">
        <v>1000</v>
      </c>
      <c r="AJ34" s="24" t="s">
        <v>124</v>
      </c>
      <c r="AK34" s="24" t="s">
        <v>125</v>
      </c>
      <c r="AU34" s="31"/>
      <c r="AV34" s="31"/>
      <c r="AW34" s="31"/>
      <c r="AX34" s="31"/>
      <c r="AY34" s="31"/>
      <c r="AZ34" s="31"/>
      <c r="BA34" s="31"/>
    </row>
    <row r="35" spans="1:53" ht="15.75" customHeight="1" x14ac:dyDescent="0.2">
      <c r="A35" s="437"/>
      <c r="B35" s="447" t="str">
        <f t="shared" si="11"/>
        <v>牛肉（200g）</v>
      </c>
      <c r="C35" s="448"/>
      <c r="D35" s="448"/>
      <c r="E35" s="449"/>
      <c r="F35" s="59"/>
      <c r="G35" s="60" t="s">
        <v>126</v>
      </c>
      <c r="H35" s="59"/>
      <c r="I35" s="60" t="str">
        <f t="shared" si="0"/>
        <v>皿</v>
      </c>
      <c r="J35" s="59"/>
      <c r="K35" s="60" t="str">
        <f t="shared" si="1"/>
        <v>皿</v>
      </c>
      <c r="L35" s="61"/>
      <c r="M35" s="60" t="str">
        <f t="shared" si="2"/>
        <v>皿</v>
      </c>
      <c r="N35" s="61">
        <f>料金シミュレーション!I65</f>
        <v>0</v>
      </c>
      <c r="O35" s="91" t="str">
        <f t="shared" si="3"/>
        <v>皿</v>
      </c>
      <c r="P35" s="450">
        <f t="shared" si="4"/>
        <v>0</v>
      </c>
      <c r="Q35" s="451"/>
      <c r="R35" s="91" t="str">
        <f t="shared" si="5"/>
        <v>皿</v>
      </c>
      <c r="S35" s="452">
        <f t="shared" si="12"/>
        <v>2000</v>
      </c>
      <c r="T35" s="453"/>
      <c r="U35" s="452">
        <f t="shared" si="6"/>
        <v>0</v>
      </c>
      <c r="V35" s="454"/>
      <c r="W35" s="453"/>
      <c r="Y35" s="432"/>
      <c r="Z35" s="308"/>
      <c r="AA35" s="308"/>
      <c r="AB35" s="308"/>
      <c r="AC35" s="308"/>
      <c r="AD35" s="308"/>
      <c r="AE35" s="309"/>
      <c r="AF35" s="53"/>
      <c r="AG35" s="53"/>
      <c r="AI35" s="24">
        <v>2000</v>
      </c>
      <c r="AJ35" s="24" t="s">
        <v>124</v>
      </c>
      <c r="AK35" s="24" t="s">
        <v>127</v>
      </c>
      <c r="AU35" s="31"/>
      <c r="AV35" s="31"/>
      <c r="AW35" s="31"/>
      <c r="AX35" s="31"/>
      <c r="AY35" s="31"/>
      <c r="AZ35" s="31"/>
      <c r="BA35" s="31"/>
    </row>
    <row r="36" spans="1:53" ht="15.75" customHeight="1" x14ac:dyDescent="0.2">
      <c r="A36" s="437"/>
      <c r="B36" s="434" t="str">
        <f t="shared" si="11"/>
        <v>豚バラ串</v>
      </c>
      <c r="C36" s="422"/>
      <c r="D36" s="422"/>
      <c r="E36" s="423"/>
      <c r="F36" s="65"/>
      <c r="G36" s="66" t="s">
        <v>126</v>
      </c>
      <c r="H36" s="65"/>
      <c r="I36" s="66" t="str">
        <f t="shared" si="0"/>
        <v>皿</v>
      </c>
      <c r="J36" s="65"/>
      <c r="K36" s="66" t="str">
        <f t="shared" si="1"/>
        <v>皿</v>
      </c>
      <c r="L36" s="67"/>
      <c r="M36" s="66" t="str">
        <f t="shared" si="2"/>
        <v>皿</v>
      </c>
      <c r="N36" s="67">
        <f>料金シミュレーション!I69</f>
        <v>0</v>
      </c>
      <c r="O36" s="92" t="str">
        <f t="shared" si="3"/>
        <v>皿</v>
      </c>
      <c r="P36" s="417">
        <f t="shared" si="4"/>
        <v>0</v>
      </c>
      <c r="Q36" s="418"/>
      <c r="R36" s="92" t="str">
        <f t="shared" si="5"/>
        <v>皿</v>
      </c>
      <c r="S36" s="419">
        <f t="shared" si="12"/>
        <v>500</v>
      </c>
      <c r="T36" s="420"/>
      <c r="U36" s="419">
        <f t="shared" si="6"/>
        <v>0</v>
      </c>
      <c r="V36" s="421"/>
      <c r="W36" s="420"/>
      <c r="Y36" s="433"/>
      <c r="Z36" s="310"/>
      <c r="AA36" s="310"/>
      <c r="AB36" s="310"/>
      <c r="AC36" s="310"/>
      <c r="AD36" s="310"/>
      <c r="AE36" s="311"/>
      <c r="AF36" s="53"/>
      <c r="AG36" s="53"/>
      <c r="AH36" s="103" t="str">
        <f>+AD21</f>
        <v/>
      </c>
      <c r="AI36" s="24">
        <v>500</v>
      </c>
      <c r="AJ36" s="24" t="s">
        <v>124</v>
      </c>
      <c r="AK36" s="24" t="s">
        <v>128</v>
      </c>
      <c r="AY36" s="31"/>
      <c r="AZ36" s="31"/>
      <c r="BA36" s="31"/>
    </row>
    <row r="37" spans="1:53" ht="15.75" customHeight="1" x14ac:dyDescent="0.2">
      <c r="A37" s="437"/>
      <c r="B37" s="424" t="str">
        <f t="shared" si="11"/>
        <v>鳥皮串</v>
      </c>
      <c r="C37" s="425"/>
      <c r="D37" s="425"/>
      <c r="E37" s="426"/>
      <c r="F37" s="59"/>
      <c r="G37" s="60" t="s">
        <v>126</v>
      </c>
      <c r="H37" s="59"/>
      <c r="I37" s="60" t="str">
        <f t="shared" si="0"/>
        <v>皿</v>
      </c>
      <c r="J37" s="59"/>
      <c r="K37" s="60" t="str">
        <f t="shared" si="1"/>
        <v>皿</v>
      </c>
      <c r="L37" s="61"/>
      <c r="M37" s="60" t="str">
        <f t="shared" si="2"/>
        <v>皿</v>
      </c>
      <c r="N37" s="61">
        <f>料金シミュレーション!I73</f>
        <v>0</v>
      </c>
      <c r="O37" s="91" t="str">
        <f t="shared" si="3"/>
        <v>皿</v>
      </c>
      <c r="P37" s="427">
        <f t="shared" si="4"/>
        <v>0</v>
      </c>
      <c r="Q37" s="428"/>
      <c r="R37" s="91" t="str">
        <f t="shared" si="5"/>
        <v>皿</v>
      </c>
      <c r="S37" s="429">
        <f t="shared" si="12"/>
        <v>500</v>
      </c>
      <c r="T37" s="430"/>
      <c r="U37" s="429">
        <f t="shared" si="6"/>
        <v>0</v>
      </c>
      <c r="V37" s="431"/>
      <c r="W37" s="430"/>
      <c r="Y37" s="56" t="str">
        <f>+A6</f>
        <v>朝食</v>
      </c>
      <c r="Z37" s="104"/>
      <c r="AA37" s="105" t="s">
        <v>129</v>
      </c>
      <c r="AB37" s="106"/>
      <c r="AC37" s="107" t="s">
        <v>130</v>
      </c>
      <c r="AD37" s="435">
        <f>+Z37*AB37</f>
        <v>0</v>
      </c>
      <c r="AE37" s="436"/>
      <c r="AF37" s="53"/>
      <c r="AG37" s="53"/>
      <c r="AI37" s="24">
        <v>500</v>
      </c>
      <c r="AJ37" s="24" t="s">
        <v>124</v>
      </c>
      <c r="AK37" s="24" t="s">
        <v>131</v>
      </c>
      <c r="AY37" s="31"/>
      <c r="AZ37" s="31"/>
      <c r="BA37" s="31"/>
    </row>
    <row r="38" spans="1:53" ht="15.75" customHeight="1" x14ac:dyDescent="0.2">
      <c r="A38" s="437"/>
      <c r="B38" s="434" t="str">
        <f t="shared" si="11"/>
        <v>鶏モモ</v>
      </c>
      <c r="C38" s="422"/>
      <c r="D38" s="422"/>
      <c r="E38" s="423"/>
      <c r="F38" s="65"/>
      <c r="G38" s="66" t="s">
        <v>126</v>
      </c>
      <c r="H38" s="65"/>
      <c r="I38" s="66" t="str">
        <f t="shared" si="0"/>
        <v>皿</v>
      </c>
      <c r="J38" s="65"/>
      <c r="K38" s="66" t="str">
        <f t="shared" si="1"/>
        <v>皿</v>
      </c>
      <c r="L38" s="67"/>
      <c r="M38" s="66" t="str">
        <f t="shared" si="2"/>
        <v>皿</v>
      </c>
      <c r="N38" s="67">
        <f>料金シミュレーション!I71</f>
        <v>0</v>
      </c>
      <c r="O38" s="92" t="str">
        <f t="shared" si="3"/>
        <v>皿</v>
      </c>
      <c r="P38" s="417">
        <f t="shared" si="4"/>
        <v>0</v>
      </c>
      <c r="Q38" s="418"/>
      <c r="R38" s="92" t="str">
        <f t="shared" si="5"/>
        <v>皿</v>
      </c>
      <c r="S38" s="419">
        <f t="shared" si="12"/>
        <v>500</v>
      </c>
      <c r="T38" s="420"/>
      <c r="U38" s="419">
        <f t="shared" si="6"/>
        <v>0</v>
      </c>
      <c r="V38" s="421"/>
      <c r="W38" s="420"/>
      <c r="Y38" s="67" t="str">
        <f>+A13</f>
        <v>昼食</v>
      </c>
      <c r="Z38" s="108"/>
      <c r="AA38" s="24" t="str">
        <f>+AA37</f>
        <v>食×</v>
      </c>
      <c r="AB38" s="109"/>
      <c r="AC38" s="53" t="str">
        <f>+AC37</f>
        <v>円＝</v>
      </c>
      <c r="AD38" s="422">
        <f>+Z38*AB38</f>
        <v>0</v>
      </c>
      <c r="AE38" s="423"/>
      <c r="AF38" s="110"/>
      <c r="AG38" s="53"/>
      <c r="AI38" s="24">
        <v>500</v>
      </c>
      <c r="AJ38" s="24" t="s">
        <v>124</v>
      </c>
      <c r="AK38" s="24" t="s">
        <v>132</v>
      </c>
      <c r="AY38" s="31"/>
      <c r="AZ38" s="31"/>
      <c r="BA38" s="31"/>
    </row>
    <row r="39" spans="1:53" ht="15.75" customHeight="1" x14ac:dyDescent="0.2">
      <c r="A39" s="437"/>
      <c r="B39" s="424" t="str">
        <f t="shared" si="11"/>
        <v>野菜・ウインナー4</v>
      </c>
      <c r="C39" s="425"/>
      <c r="D39" s="425"/>
      <c r="E39" s="426"/>
      <c r="F39" s="61"/>
      <c r="G39" s="60" t="s">
        <v>126</v>
      </c>
      <c r="H39" s="61"/>
      <c r="I39" s="91" t="str">
        <f t="shared" si="0"/>
        <v>皿</v>
      </c>
      <c r="J39" s="61"/>
      <c r="K39" s="60" t="str">
        <f t="shared" si="1"/>
        <v>皿</v>
      </c>
      <c r="L39" s="61"/>
      <c r="M39" s="60" t="str">
        <f t="shared" si="2"/>
        <v>皿</v>
      </c>
      <c r="N39" s="61">
        <f>料金シミュレーション!I67</f>
        <v>0</v>
      </c>
      <c r="O39" s="91" t="str">
        <f t="shared" si="3"/>
        <v>皿</v>
      </c>
      <c r="P39" s="427">
        <f t="shared" si="4"/>
        <v>0</v>
      </c>
      <c r="Q39" s="428"/>
      <c r="R39" s="91" t="str">
        <f t="shared" si="5"/>
        <v>皿</v>
      </c>
      <c r="S39" s="429">
        <f t="shared" si="12"/>
        <v>500</v>
      </c>
      <c r="T39" s="430"/>
      <c r="U39" s="429">
        <f t="shared" si="6"/>
        <v>0</v>
      </c>
      <c r="V39" s="431"/>
      <c r="W39" s="430"/>
      <c r="Y39" s="67" t="str">
        <f>+A25</f>
        <v>夕食</v>
      </c>
      <c r="Z39" s="108"/>
      <c r="AA39" s="24" t="str">
        <f>+AA38</f>
        <v>食×</v>
      </c>
      <c r="AB39" s="109"/>
      <c r="AC39" s="53" t="str">
        <f>+AC38</f>
        <v>円＝</v>
      </c>
      <c r="AD39" s="422">
        <f>+Z39*AB39</f>
        <v>0</v>
      </c>
      <c r="AE39" s="423"/>
      <c r="AF39" s="110"/>
      <c r="AG39" s="53"/>
      <c r="AI39" s="24">
        <v>500</v>
      </c>
      <c r="AJ39" s="24" t="s">
        <v>124</v>
      </c>
      <c r="AK39" s="24" t="s">
        <v>133</v>
      </c>
      <c r="AY39" s="31"/>
      <c r="AZ39" s="31"/>
      <c r="BA39" s="31"/>
    </row>
    <row r="40" spans="1:53" ht="15.75" customHeight="1" x14ac:dyDescent="0.2">
      <c r="A40" s="438"/>
      <c r="B40" s="455" t="str">
        <f t="shared" si="11"/>
        <v>ウインナー8本</v>
      </c>
      <c r="C40" s="412"/>
      <c r="D40" s="412"/>
      <c r="E40" s="413"/>
      <c r="F40" s="111"/>
      <c r="G40" s="112" t="s">
        <v>126</v>
      </c>
      <c r="H40" s="111"/>
      <c r="I40" s="112" t="str">
        <f t="shared" si="0"/>
        <v>皿</v>
      </c>
      <c r="J40" s="111"/>
      <c r="K40" s="112" t="str">
        <f t="shared" si="1"/>
        <v>皿</v>
      </c>
      <c r="L40" s="113"/>
      <c r="M40" s="112" t="str">
        <f t="shared" si="2"/>
        <v>皿</v>
      </c>
      <c r="N40" s="113"/>
      <c r="O40" s="114" t="str">
        <f t="shared" si="3"/>
        <v>皿</v>
      </c>
      <c r="P40" s="456">
        <f t="shared" si="4"/>
        <v>0</v>
      </c>
      <c r="Q40" s="457"/>
      <c r="R40" s="114" t="str">
        <f t="shared" si="5"/>
        <v>皿</v>
      </c>
      <c r="S40" s="458">
        <f t="shared" si="12"/>
        <v>500</v>
      </c>
      <c r="T40" s="459"/>
      <c r="U40" s="458">
        <f t="shared" si="6"/>
        <v>0</v>
      </c>
      <c r="V40" s="460"/>
      <c r="W40" s="459"/>
      <c r="Y40" s="113" t="s">
        <v>134</v>
      </c>
      <c r="Z40" s="115"/>
      <c r="AA40" s="116" t="s">
        <v>135</v>
      </c>
      <c r="AB40" s="117"/>
      <c r="AC40" s="118" t="str">
        <f>+AC39</f>
        <v>円＝</v>
      </c>
      <c r="AD40" s="412">
        <f>+Z40*AB40</f>
        <v>0</v>
      </c>
      <c r="AE40" s="413"/>
      <c r="AF40" s="53"/>
      <c r="AG40" s="53"/>
      <c r="AH40" s="119" t="str">
        <f>+AD23</f>
        <v/>
      </c>
      <c r="AI40" s="24">
        <v>500</v>
      </c>
      <c r="AJ40" s="24" t="s">
        <v>124</v>
      </c>
      <c r="AK40" s="24" t="s">
        <v>136</v>
      </c>
      <c r="AY40" s="31"/>
      <c r="AZ40" s="31"/>
      <c r="BA40" s="31"/>
    </row>
    <row r="41" spans="1:53" ht="15.75" customHeight="1" x14ac:dyDescent="0.2">
      <c r="B41" s="53"/>
      <c r="C41" s="53"/>
      <c r="D41" s="64"/>
      <c r="E41" s="64"/>
      <c r="F41" s="64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44"/>
      <c r="S41" s="121"/>
      <c r="T41" s="121"/>
      <c r="U41" s="121"/>
      <c r="V41" s="121"/>
      <c r="W41" s="121"/>
      <c r="X41" s="121"/>
      <c r="Y41" s="414"/>
      <c r="Z41" s="369"/>
      <c r="AA41" s="369"/>
      <c r="AB41" s="369"/>
      <c r="AC41" s="122" t="s">
        <v>122</v>
      </c>
      <c r="AD41" s="415">
        <f>SUM(AD37:AE40)</f>
        <v>0</v>
      </c>
      <c r="AE41" s="416"/>
      <c r="AF41" s="53"/>
      <c r="AG41" s="53"/>
      <c r="AJ41" s="24" t="s">
        <v>137</v>
      </c>
      <c r="AK41" s="24" t="s">
        <v>138</v>
      </c>
    </row>
    <row r="42" spans="1:53" ht="15.75" customHeight="1" x14ac:dyDescent="0.2">
      <c r="AG42" s="53"/>
      <c r="AI42" s="24">
        <v>2000</v>
      </c>
      <c r="AJ42" s="24" t="s">
        <v>57</v>
      </c>
      <c r="AK42" s="24" t="s">
        <v>58</v>
      </c>
    </row>
    <row r="43" spans="1:53" ht="15.75" customHeight="1" x14ac:dyDescent="0.2">
      <c r="AG43" s="53"/>
    </row>
    <row r="44" spans="1:53" ht="15.75" customHeight="1" x14ac:dyDescent="0.2">
      <c r="AG44" s="53"/>
    </row>
    <row r="45" spans="1:53" ht="15.75" customHeight="1" x14ac:dyDescent="0.2">
      <c r="AG45" s="53"/>
    </row>
    <row r="46" spans="1:53" ht="15.75" customHeight="1" x14ac:dyDescent="0.2">
      <c r="AG46" s="53"/>
    </row>
  </sheetData>
  <sheetProtection sheet="1" objects="1" scenarios="1"/>
  <mergeCells count="204">
    <mergeCell ref="A1:D2"/>
    <mergeCell ref="K1:L1"/>
    <mergeCell ref="M1:V1"/>
    <mergeCell ref="AE1:AF1"/>
    <mergeCell ref="K2:L2"/>
    <mergeCell ref="W2:X2"/>
    <mergeCell ref="Y2:AD2"/>
    <mergeCell ref="AE2:AF2"/>
    <mergeCell ref="B3:E3"/>
    <mergeCell ref="F3:J3"/>
    <mergeCell ref="Y3:Z3"/>
    <mergeCell ref="AE3:AF3"/>
    <mergeCell ref="B5:E5"/>
    <mergeCell ref="F5:G5"/>
    <mergeCell ref="H5:I5"/>
    <mergeCell ref="J5:K5"/>
    <mergeCell ref="L5:M5"/>
    <mergeCell ref="N5:O5"/>
    <mergeCell ref="P5:R5"/>
    <mergeCell ref="S5:T5"/>
    <mergeCell ref="U5:W5"/>
    <mergeCell ref="A6:A12"/>
    <mergeCell ref="B6:E6"/>
    <mergeCell ref="P6:Q6"/>
    <mergeCell ref="S6:T6"/>
    <mergeCell ref="U6:W6"/>
    <mergeCell ref="B9:E9"/>
    <mergeCell ref="P9:Q9"/>
    <mergeCell ref="S9:T9"/>
    <mergeCell ref="U9:W9"/>
    <mergeCell ref="B10:E10"/>
    <mergeCell ref="P10:Q10"/>
    <mergeCell ref="S10:T10"/>
    <mergeCell ref="U10:W10"/>
    <mergeCell ref="Y6:AC7"/>
    <mergeCell ref="B7:E7"/>
    <mergeCell ref="P7:Q7"/>
    <mergeCell ref="S7:T7"/>
    <mergeCell ref="U7:W7"/>
    <mergeCell ref="B8:E8"/>
    <mergeCell ref="P8:Q8"/>
    <mergeCell ref="S8:T8"/>
    <mergeCell ref="U8:W8"/>
    <mergeCell ref="AC11:AD12"/>
    <mergeCell ref="AE11:AF12"/>
    <mergeCell ref="B12:E12"/>
    <mergeCell ref="P12:Q12"/>
    <mergeCell ref="S12:T12"/>
    <mergeCell ref="U12:W12"/>
    <mergeCell ref="Y10:Z10"/>
    <mergeCell ref="AA10:AB10"/>
    <mergeCell ref="AC10:AD10"/>
    <mergeCell ref="AE10:AF10"/>
    <mergeCell ref="B11:E11"/>
    <mergeCell ref="P11:Q11"/>
    <mergeCell ref="S11:T11"/>
    <mergeCell ref="U11:W11"/>
    <mergeCell ref="Y11:Z12"/>
    <mergeCell ref="AA11:AB12"/>
    <mergeCell ref="A13:A24"/>
    <mergeCell ref="B13:E13"/>
    <mergeCell ref="P13:Q13"/>
    <mergeCell ref="S13:T13"/>
    <mergeCell ref="U13:W13"/>
    <mergeCell ref="Y13:Z14"/>
    <mergeCell ref="B15:E15"/>
    <mergeCell ref="P15:Q15"/>
    <mergeCell ref="S15:T15"/>
    <mergeCell ref="U15:W15"/>
    <mergeCell ref="Y15:Z16"/>
    <mergeCell ref="B21:E21"/>
    <mergeCell ref="P21:Q21"/>
    <mergeCell ref="S21:T21"/>
    <mergeCell ref="U21:W21"/>
    <mergeCell ref="AA15:AB16"/>
    <mergeCell ref="AC15:AD16"/>
    <mergeCell ref="AE15:AF16"/>
    <mergeCell ref="B16:E16"/>
    <mergeCell ref="P16:Q16"/>
    <mergeCell ref="S16:T16"/>
    <mergeCell ref="U16:W16"/>
    <mergeCell ref="AA13:AB14"/>
    <mergeCell ref="AC13:AD14"/>
    <mergeCell ref="AE13:AF14"/>
    <mergeCell ref="B14:E14"/>
    <mergeCell ref="P14:Q14"/>
    <mergeCell ref="S14:T14"/>
    <mergeCell ref="U14:W14"/>
    <mergeCell ref="AC17:AD18"/>
    <mergeCell ref="AE17:AF18"/>
    <mergeCell ref="B18:E18"/>
    <mergeCell ref="P18:Q18"/>
    <mergeCell ref="S18:T18"/>
    <mergeCell ref="U18:W18"/>
    <mergeCell ref="B17:E17"/>
    <mergeCell ref="P17:Q17"/>
    <mergeCell ref="S17:T17"/>
    <mergeCell ref="U17:W17"/>
    <mergeCell ref="Y17:Z18"/>
    <mergeCell ref="AA17:AB18"/>
    <mergeCell ref="AC19:AD20"/>
    <mergeCell ref="AE19:AF20"/>
    <mergeCell ref="B20:E20"/>
    <mergeCell ref="P20:Q20"/>
    <mergeCell ref="S20:T20"/>
    <mergeCell ref="U20:W20"/>
    <mergeCell ref="B19:E19"/>
    <mergeCell ref="P19:Q19"/>
    <mergeCell ref="S19:T19"/>
    <mergeCell ref="U19:W19"/>
    <mergeCell ref="Y19:Z20"/>
    <mergeCell ref="AA19:AB20"/>
    <mergeCell ref="AD21:AF22"/>
    <mergeCell ref="B22:E22"/>
    <mergeCell ref="P22:Q22"/>
    <mergeCell ref="S22:T22"/>
    <mergeCell ref="U22:W22"/>
    <mergeCell ref="Y25:AE26"/>
    <mergeCell ref="B26:E26"/>
    <mergeCell ref="P26:Q26"/>
    <mergeCell ref="S26:T26"/>
    <mergeCell ref="U26:W26"/>
    <mergeCell ref="B23:E23"/>
    <mergeCell ref="P23:Q23"/>
    <mergeCell ref="S23:T23"/>
    <mergeCell ref="U23:W23"/>
    <mergeCell ref="AD23:AE24"/>
    <mergeCell ref="B24:E24"/>
    <mergeCell ref="P24:Q24"/>
    <mergeCell ref="S24:T24"/>
    <mergeCell ref="U24:W24"/>
    <mergeCell ref="B27:E27"/>
    <mergeCell ref="P27:Q27"/>
    <mergeCell ref="S27:T27"/>
    <mergeCell ref="U27:W27"/>
    <mergeCell ref="B28:E28"/>
    <mergeCell ref="P28:Q28"/>
    <mergeCell ref="S28:T28"/>
    <mergeCell ref="U28:W28"/>
    <mergeCell ref="A25:A33"/>
    <mergeCell ref="B25:E25"/>
    <mergeCell ref="P25:Q25"/>
    <mergeCell ref="S25:T25"/>
    <mergeCell ref="U25:W25"/>
    <mergeCell ref="B32:E32"/>
    <mergeCell ref="P32:Q32"/>
    <mergeCell ref="S32:T32"/>
    <mergeCell ref="U32:W32"/>
    <mergeCell ref="B33:E33"/>
    <mergeCell ref="P33:Q33"/>
    <mergeCell ref="S33:T33"/>
    <mergeCell ref="U33:W33"/>
    <mergeCell ref="AE30:AE31"/>
    <mergeCell ref="B31:E31"/>
    <mergeCell ref="P31:Q31"/>
    <mergeCell ref="S31:T31"/>
    <mergeCell ref="U31:W31"/>
    <mergeCell ref="Y28:AE29"/>
    <mergeCell ref="B29:E29"/>
    <mergeCell ref="P29:Q29"/>
    <mergeCell ref="S29:T29"/>
    <mergeCell ref="U29:W29"/>
    <mergeCell ref="B30:E30"/>
    <mergeCell ref="P30:Q30"/>
    <mergeCell ref="S30:T30"/>
    <mergeCell ref="U30:W30"/>
    <mergeCell ref="Y30:Z31"/>
    <mergeCell ref="AA30:AD31"/>
    <mergeCell ref="A34:A40"/>
    <mergeCell ref="B34:E34"/>
    <mergeCell ref="P34:Q34"/>
    <mergeCell ref="S34:T34"/>
    <mergeCell ref="U34:W34"/>
    <mergeCell ref="B35:E35"/>
    <mergeCell ref="P35:Q35"/>
    <mergeCell ref="S35:T35"/>
    <mergeCell ref="U35:W35"/>
    <mergeCell ref="B38:E38"/>
    <mergeCell ref="B40:E40"/>
    <mergeCell ref="P40:Q40"/>
    <mergeCell ref="S40:T40"/>
    <mergeCell ref="U40:W40"/>
    <mergeCell ref="Y35:AE36"/>
    <mergeCell ref="B36:E36"/>
    <mergeCell ref="P36:Q36"/>
    <mergeCell ref="S36:T36"/>
    <mergeCell ref="U36:W36"/>
    <mergeCell ref="B37:E37"/>
    <mergeCell ref="P37:Q37"/>
    <mergeCell ref="S37:T37"/>
    <mergeCell ref="U37:W37"/>
    <mergeCell ref="AD37:AE37"/>
    <mergeCell ref="AD40:AE40"/>
    <mergeCell ref="Y41:AB41"/>
    <mergeCell ref="AD41:AE41"/>
    <mergeCell ref="P38:Q38"/>
    <mergeCell ref="S38:T38"/>
    <mergeCell ref="U38:W38"/>
    <mergeCell ref="AD38:AE38"/>
    <mergeCell ref="B39:E39"/>
    <mergeCell ref="P39:Q39"/>
    <mergeCell ref="S39:T39"/>
    <mergeCell ref="U39:W39"/>
    <mergeCell ref="AD39:AE39"/>
  </mergeCells>
  <phoneticPr fontId="5"/>
  <dataValidations count="1">
    <dataValidation type="whole" operator="greaterThan" showInputMessage="1" showErrorMessage="1" sqref="AA11:AD20" xr:uid="{589C016E-6F43-4921-8A64-566CD47A06EE}">
      <formula1>0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8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料金シミュレーション</vt:lpstr>
      <vt:lpstr>計算シート</vt:lpstr>
      <vt:lpstr>計算シート②</vt:lpstr>
      <vt:lpstr>計算シート!Print_Area</vt:lpstr>
      <vt:lpstr>計算シート②!Print_Area</vt:lpstr>
      <vt:lpstr>料金シミュレーション!Print_Area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 雅典</dc:creator>
  <cp:lastModifiedBy>少年自然の家 波戸岬</cp:lastModifiedBy>
  <cp:lastPrinted>2026-02-04T07:59:09Z</cp:lastPrinted>
  <dcterms:created xsi:type="dcterms:W3CDTF">2013-07-02T09:12:16Z</dcterms:created>
  <dcterms:modified xsi:type="dcterms:W3CDTF">2026-04-22T01:24:28Z</dcterms:modified>
</cp:coreProperties>
</file>